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guilar\Documents\AÑO 2018\ESTADOS FINANCIEROS TRIMESTRALES PARA TRANSPARENCIA (PUBLICACION)\"/>
    </mc:Choice>
  </mc:AlternateContent>
  <bookViews>
    <workbookView xWindow="0" yWindow="0" windowWidth="24000" windowHeight="9435" tabRatio="864" activeTab="17"/>
  </bookViews>
  <sheets>
    <sheet name="PRINCIPAL" sheetId="31" r:id="rId1"/>
    <sheet name="ENTE" sheetId="2" r:id="rId2"/>
    <sheet name="Periodos" sheetId="38" state="hidden" r:id="rId3"/>
    <sheet name="BALANZA COMPROBACION" sheetId="3" r:id="rId4"/>
    <sheet name="EA" sheetId="11" r:id="rId5"/>
    <sheet name="ESF" sheetId="13" r:id="rId6"/>
    <sheet name="ESFD" sheetId="32" r:id="rId7"/>
    <sheet name="EVHP" sheetId="19" r:id="rId8"/>
    <sheet name="ECSF" sheetId="15" r:id="rId9"/>
    <sheet name="EFE" sheetId="20" r:id="rId10"/>
    <sheet name="IPC" sheetId="17" r:id="rId11"/>
    <sheet name="EAA" sheetId="16" r:id="rId12"/>
    <sheet name="CF" sheetId="41" r:id="rId13"/>
    <sheet name="EB" sheetId="40" r:id="rId14"/>
    <sheet name="EADP" sheetId="18" r:id="rId15"/>
    <sheet name="IADOP" sheetId="33" r:id="rId16"/>
    <sheet name="IAODF" sheetId="35" r:id="rId17"/>
    <sheet name="Comprobación" sheetId="42" r:id="rId18"/>
    <sheet name="EA (2)" sheetId="12" state="hidden" r:id="rId19"/>
    <sheet name="ESF (2)" sheetId="14" state="hidden" r:id="rId20"/>
    <sheet name="ECSF (2)" sheetId="36" state="hidden" r:id="rId21"/>
  </sheets>
  <definedNames>
    <definedName name="_xlnm._FilterDatabase" localSheetId="3" hidden="1">'BALANZA COMPROBACION'!$A$10:$H$673</definedName>
    <definedName name="_xlnm.Print_Area" localSheetId="3">'BALANZA COMPROBACION'!$A$1:$H$677</definedName>
    <definedName name="_xlnm.Print_Area" localSheetId="12">CF!$A$1:$H$47</definedName>
    <definedName name="_xlnm.Print_Area" localSheetId="4">EA!$A$1:$M$65</definedName>
    <definedName name="_xlnm.Print_Area" localSheetId="18">'EA (2)'!$A$1:$K$64</definedName>
    <definedName name="_xlnm.Print_Area" localSheetId="11">EAA!$A$1:$K$45</definedName>
    <definedName name="_xlnm.Print_Area" localSheetId="14">EADP!$A$1:$L$51</definedName>
    <definedName name="_xlnm.Print_Area" localSheetId="13">EB!$A$1:$H$47</definedName>
    <definedName name="_xlnm.Print_Area" localSheetId="9">EFE!$A$1:$T$60</definedName>
    <definedName name="_xlnm.Print_Area" localSheetId="5">ESF!$A$1:$M$72</definedName>
    <definedName name="_xlnm.Print_Area" localSheetId="19">'ESF (2)'!$B$1:$M$73</definedName>
    <definedName name="_xlnm.Print_Area" localSheetId="6">ESFD!$A$1:$I$55,ESFD!$A$57:$I$110</definedName>
    <definedName name="_xlnm.Print_Area" localSheetId="7">EVHP!$A$1:$K$54</definedName>
    <definedName name="_xlnm.Print_Area" localSheetId="15">IADOP!$A$1:$J$51</definedName>
    <definedName name="_xlnm.Print_Area" localSheetId="16">IAODF!$A$1:$M$27</definedName>
    <definedName name="_xlnm.Print_Area" localSheetId="10">IPC!$A$1:$I$43</definedName>
    <definedName name="Periodos">Periodos!$A$2:$A$13</definedName>
    <definedName name="RENDICIÓN_DE_LA_CUENTA_PÚBLICA">PRINCIPAL!#REF!</definedName>
    <definedName name="_xlnm.Print_Titles" localSheetId="3">'BALANZA COMPROBACION'!$2:$10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3" l="1"/>
  <c r="F37" i="3"/>
  <c r="F489" i="3" l="1"/>
  <c r="H489" i="3" s="1"/>
  <c r="F494" i="3"/>
  <c r="H240" i="3" l="1"/>
  <c r="E407" i="3" l="1"/>
  <c r="E588" i="3"/>
  <c r="E94" i="3" l="1"/>
  <c r="H400" i="3"/>
  <c r="H399" i="3"/>
  <c r="H56" i="3"/>
  <c r="F24" i="11" l="1"/>
  <c r="H460" i="3"/>
  <c r="F23" i="19"/>
  <c r="F21" i="19"/>
  <c r="D27" i="32"/>
  <c r="H39" i="3"/>
  <c r="G19" i="19" l="1"/>
  <c r="F22" i="19"/>
  <c r="E14" i="19"/>
  <c r="I14" i="19" s="1"/>
  <c r="I23" i="19"/>
  <c r="H407" i="3" l="1"/>
  <c r="H406" i="3" l="1"/>
  <c r="D10" i="3" l="1"/>
  <c r="C4" i="11"/>
  <c r="C4" i="13"/>
  <c r="B60" i="32"/>
  <c r="B4" i="32"/>
  <c r="C4" i="15"/>
  <c r="D4" i="20"/>
  <c r="B5" i="3"/>
  <c r="F23" i="17" l="1"/>
  <c r="F22" i="17" l="1"/>
  <c r="G43" i="16" l="1"/>
  <c r="G42" i="16"/>
  <c r="C7" i="41" l="1"/>
  <c r="E47" i="41"/>
  <c r="E46" i="41"/>
  <c r="C47" i="41"/>
  <c r="C46" i="41"/>
  <c r="B5" i="41"/>
  <c r="B5" i="40"/>
  <c r="C7" i="40"/>
  <c r="B4" i="35"/>
  <c r="E47" i="40"/>
  <c r="E46" i="40"/>
  <c r="C47" i="40"/>
  <c r="C46" i="40"/>
  <c r="H92" i="32" l="1"/>
  <c r="E22" i="17"/>
  <c r="I21" i="19" l="1"/>
  <c r="J29" i="20"/>
  <c r="H408" i="3"/>
  <c r="I22" i="19" l="1"/>
  <c r="E16" i="19"/>
  <c r="I16" i="19" s="1"/>
  <c r="E15" i="19"/>
  <c r="I15" i="19" s="1"/>
  <c r="J45" i="20"/>
  <c r="J44" i="20"/>
  <c r="J43" i="20"/>
  <c r="J41" i="20"/>
  <c r="J40" i="20"/>
  <c r="J39" i="20"/>
  <c r="J38" i="20"/>
  <c r="J37" i="20"/>
  <c r="J36" i="20"/>
  <c r="J35" i="20"/>
  <c r="J34" i="20"/>
  <c r="J33" i="20"/>
  <c r="J42" i="20"/>
  <c r="J31" i="20"/>
  <c r="J30" i="20"/>
  <c r="J25" i="20"/>
  <c r="J24" i="20"/>
  <c r="J23" i="20"/>
  <c r="J22" i="20"/>
  <c r="J21" i="20"/>
  <c r="J20" i="20"/>
  <c r="J19" i="20"/>
  <c r="J18" i="20"/>
  <c r="J17" i="20"/>
  <c r="J16" i="20"/>
  <c r="I42" i="18"/>
  <c r="I30" i="18"/>
  <c r="I17" i="18"/>
  <c r="I16" i="18"/>
  <c r="E34" i="16"/>
  <c r="E33" i="16"/>
  <c r="E32" i="16"/>
  <c r="E31" i="16"/>
  <c r="E30" i="16"/>
  <c r="E29" i="16"/>
  <c r="E28" i="16"/>
  <c r="E27" i="16"/>
  <c r="E26" i="16"/>
  <c r="E23" i="16"/>
  <c r="E22" i="16"/>
  <c r="E21" i="16"/>
  <c r="E20" i="16"/>
  <c r="E19" i="16"/>
  <c r="E18" i="16"/>
  <c r="E17" i="16"/>
  <c r="G18" i="19"/>
  <c r="G29" i="19" s="1"/>
  <c r="G38" i="19" s="1"/>
  <c r="F20" i="19"/>
  <c r="F18" i="19" l="1"/>
  <c r="F29" i="19" s="1"/>
  <c r="I20" i="19"/>
  <c r="J28" i="20"/>
  <c r="H419" i="3"/>
  <c r="K60" i="13" l="1"/>
  <c r="H27" i="19" s="1"/>
  <c r="I27" i="19" s="1"/>
  <c r="K59" i="13"/>
  <c r="H26" i="19" s="1"/>
  <c r="K55" i="13"/>
  <c r="K54" i="13"/>
  <c r="K53" i="13"/>
  <c r="K52" i="13"/>
  <c r="K47" i="13"/>
  <c r="K46" i="13"/>
  <c r="K45" i="13"/>
  <c r="K35" i="13"/>
  <c r="K34" i="13"/>
  <c r="K33" i="13"/>
  <c r="K32" i="13"/>
  <c r="K31" i="13"/>
  <c r="K30" i="13"/>
  <c r="K24" i="13"/>
  <c r="K23" i="13"/>
  <c r="K22" i="13"/>
  <c r="K21" i="13"/>
  <c r="K20" i="13"/>
  <c r="K19" i="13"/>
  <c r="K18" i="13"/>
  <c r="K17" i="13"/>
  <c r="F38" i="13"/>
  <c r="F37" i="13"/>
  <c r="F36" i="13"/>
  <c r="F35" i="13"/>
  <c r="F34" i="13"/>
  <c r="F33" i="13"/>
  <c r="F32" i="13"/>
  <c r="F31" i="13"/>
  <c r="F30" i="13"/>
  <c r="F23" i="13"/>
  <c r="F22" i="13"/>
  <c r="F21" i="13"/>
  <c r="F20" i="13"/>
  <c r="F19" i="13"/>
  <c r="F18" i="13"/>
  <c r="F17" i="13"/>
  <c r="K16" i="11"/>
  <c r="K50" i="11"/>
  <c r="K47" i="11"/>
  <c r="K46" i="11"/>
  <c r="K45" i="11"/>
  <c r="K44" i="11"/>
  <c r="K43" i="11"/>
  <c r="K42" i="11"/>
  <c r="K39" i="11"/>
  <c r="K38" i="11"/>
  <c r="K37" i="11"/>
  <c r="K36" i="11"/>
  <c r="K35" i="11"/>
  <c r="K32" i="11"/>
  <c r="K31" i="11"/>
  <c r="K30" i="11"/>
  <c r="K27" i="11"/>
  <c r="K26" i="11"/>
  <c r="K25" i="11"/>
  <c r="K24" i="11"/>
  <c r="K23" i="11"/>
  <c r="K22" i="11"/>
  <c r="K21" i="11"/>
  <c r="K20" i="11"/>
  <c r="K19" i="11"/>
  <c r="K15" i="11"/>
  <c r="K14" i="11"/>
  <c r="F32" i="11"/>
  <c r="F31" i="11"/>
  <c r="F30" i="11"/>
  <c r="F29" i="11"/>
  <c r="F28" i="11"/>
  <c r="F25" i="11"/>
  <c r="F21" i="11"/>
  <c r="F20" i="11"/>
  <c r="F19" i="11"/>
  <c r="F18" i="11"/>
  <c r="F17" i="11"/>
  <c r="F16" i="11"/>
  <c r="F15" i="11"/>
  <c r="F14" i="11"/>
  <c r="D673" i="3"/>
  <c r="F10" i="3"/>
  <c r="H11" i="3"/>
  <c r="C65" i="32"/>
  <c r="G65" i="32"/>
  <c r="G9" i="32"/>
  <c r="C9" i="32"/>
  <c r="L9" i="35"/>
  <c r="K9" i="35"/>
  <c r="J9" i="35"/>
  <c r="B4" i="33"/>
  <c r="C4" i="18"/>
  <c r="C4" i="16"/>
  <c r="C4" i="17"/>
  <c r="C4" i="19"/>
  <c r="H88" i="32"/>
  <c r="G34" i="33"/>
  <c r="G33" i="33"/>
  <c r="G32" i="33"/>
  <c r="G29" i="33"/>
  <c r="G28" i="33"/>
  <c r="G27" i="33"/>
  <c r="G20" i="33"/>
  <c r="G19" i="33"/>
  <c r="G15" i="33"/>
  <c r="G10" i="3"/>
  <c r="I26" i="19" l="1"/>
  <c r="I25" i="19" s="1"/>
  <c r="H25" i="19"/>
  <c r="H29" i="19" s="1"/>
  <c r="K26" i="13"/>
  <c r="K37" i="13"/>
  <c r="L12" i="35"/>
  <c r="D43" i="33"/>
  <c r="L21" i="35" l="1"/>
  <c r="L20" i="35"/>
  <c r="L19" i="35"/>
  <c r="L18" i="35"/>
  <c r="L15" i="35"/>
  <c r="L14" i="35"/>
  <c r="L13" i="35"/>
  <c r="K11" i="35"/>
  <c r="L11" i="35" s="1"/>
  <c r="J11" i="35"/>
  <c r="I11" i="35"/>
  <c r="H11" i="35"/>
  <c r="G11" i="35"/>
  <c r="F11" i="35"/>
  <c r="E11" i="35"/>
  <c r="D11" i="35"/>
  <c r="C11" i="35"/>
  <c r="C63" i="32"/>
  <c r="F17" i="17"/>
  <c r="Q36" i="20"/>
  <c r="C7" i="35"/>
  <c r="H101" i="32" l="1"/>
  <c r="H100" i="32"/>
  <c r="H96" i="32"/>
  <c r="H95" i="32"/>
  <c r="H94" i="32"/>
  <c r="H93" i="32"/>
  <c r="H87" i="32"/>
  <c r="H86" i="32"/>
  <c r="H76" i="32"/>
  <c r="H75" i="32"/>
  <c r="H74" i="32"/>
  <c r="H73" i="32"/>
  <c r="H72" i="32"/>
  <c r="H71" i="32"/>
  <c r="H52" i="32"/>
  <c r="H51" i="32"/>
  <c r="H50" i="32"/>
  <c r="H48" i="32"/>
  <c r="H47" i="32"/>
  <c r="H46" i="32"/>
  <c r="H44" i="32"/>
  <c r="H43" i="32"/>
  <c r="H42" i="32"/>
  <c r="H41" i="32"/>
  <c r="H40" i="32"/>
  <c r="H39" i="32"/>
  <c r="H37" i="32"/>
  <c r="H36" i="32"/>
  <c r="H35" i="32"/>
  <c r="H33" i="32"/>
  <c r="H32" i="32"/>
  <c r="H31" i="32"/>
  <c r="C13" i="33" s="1"/>
  <c r="H29" i="32"/>
  <c r="H28" i="32"/>
  <c r="H27" i="32"/>
  <c r="H25" i="32"/>
  <c r="H24" i="32"/>
  <c r="H23" i="32"/>
  <c r="H22" i="32"/>
  <c r="H21" i="32"/>
  <c r="H20" i="32"/>
  <c r="H19" i="32"/>
  <c r="H18" i="32"/>
  <c r="H17" i="32"/>
  <c r="D79" i="32"/>
  <c r="D78" i="32"/>
  <c r="D77" i="32"/>
  <c r="D76" i="32"/>
  <c r="D75" i="32"/>
  <c r="D74" i="32"/>
  <c r="D73" i="32"/>
  <c r="D72" i="32"/>
  <c r="D71" i="32"/>
  <c r="D52" i="32"/>
  <c r="D51" i="32"/>
  <c r="D50" i="32"/>
  <c r="D49" i="32"/>
  <c r="D47" i="32"/>
  <c r="D46" i="32"/>
  <c r="D44" i="32"/>
  <c r="D43" i="32"/>
  <c r="D42" i="32"/>
  <c r="D41" i="32"/>
  <c r="D40" i="32"/>
  <c r="D39" i="32"/>
  <c r="D37" i="32"/>
  <c r="D36" i="32"/>
  <c r="D35" i="32"/>
  <c r="D34" i="32"/>
  <c r="D33" i="32"/>
  <c r="D31" i="32"/>
  <c r="D30" i="32"/>
  <c r="D29" i="32"/>
  <c r="D28" i="32"/>
  <c r="D26" i="32"/>
  <c r="D25" i="32"/>
  <c r="D23" i="32"/>
  <c r="D22" i="32"/>
  <c r="D21" i="32"/>
  <c r="D20" i="32"/>
  <c r="D19" i="32"/>
  <c r="D18" i="32"/>
  <c r="D17" i="32"/>
  <c r="C18" i="33" l="1"/>
  <c r="C12" i="33"/>
  <c r="H98" i="32"/>
  <c r="H84" i="32"/>
  <c r="D16" i="32"/>
  <c r="Q48" i="20" s="1"/>
  <c r="Q52" i="20" s="1"/>
  <c r="H38" i="32"/>
  <c r="H78" i="32"/>
  <c r="D45" i="32"/>
  <c r="H16" i="32"/>
  <c r="H26" i="32"/>
  <c r="H30" i="32"/>
  <c r="H45" i="32"/>
  <c r="H49" i="32"/>
  <c r="D81" i="32"/>
  <c r="D32" i="32"/>
  <c r="D38" i="32"/>
  <c r="D48" i="32"/>
  <c r="H34" i="32"/>
  <c r="D24" i="32"/>
  <c r="R20" i="20"/>
  <c r="R36" i="20"/>
  <c r="R30" i="20"/>
  <c r="H62" i="36"/>
  <c r="D62" i="36"/>
  <c r="H61" i="36"/>
  <c r="D61" i="36"/>
  <c r="D6" i="36"/>
  <c r="K44" i="14"/>
  <c r="J44" i="14"/>
  <c r="F22" i="14"/>
  <c r="E22" i="14"/>
  <c r="J43" i="12"/>
  <c r="I43" i="12"/>
  <c r="H397" i="3"/>
  <c r="G14" i="33" l="1"/>
  <c r="E23" i="36"/>
  <c r="F23" i="36" s="1"/>
  <c r="D67" i="32"/>
  <c r="D83" i="32" s="1"/>
  <c r="H67" i="32"/>
  <c r="H80" i="32" s="1"/>
  <c r="J39" i="36"/>
  <c r="K39" i="36" s="1"/>
  <c r="R35" i="20"/>
  <c r="R29" i="20"/>
  <c r="R15" i="20"/>
  <c r="R24" i="20" s="1"/>
  <c r="G93" i="32"/>
  <c r="H588" i="3"/>
  <c r="K17" i="35"/>
  <c r="J17" i="35"/>
  <c r="I17" i="35"/>
  <c r="H17" i="35"/>
  <c r="G17" i="35"/>
  <c r="F17" i="35"/>
  <c r="E17" i="35"/>
  <c r="D17" i="35"/>
  <c r="C17" i="35"/>
  <c r="C23" i="35" s="1"/>
  <c r="J23" i="35"/>
  <c r="I23" i="35"/>
  <c r="H23" i="35"/>
  <c r="G23" i="35"/>
  <c r="E43" i="33"/>
  <c r="F43" i="33"/>
  <c r="G43" i="33"/>
  <c r="H43" i="33"/>
  <c r="C7" i="33"/>
  <c r="I31" i="33"/>
  <c r="H31" i="33"/>
  <c r="G31" i="33"/>
  <c r="F31" i="33"/>
  <c r="E31" i="33"/>
  <c r="D31" i="33"/>
  <c r="C31" i="33"/>
  <c r="I26" i="33"/>
  <c r="H26" i="33"/>
  <c r="G26" i="33"/>
  <c r="F26" i="33"/>
  <c r="E26" i="33"/>
  <c r="D26" i="33"/>
  <c r="C26" i="33"/>
  <c r="I17" i="33"/>
  <c r="H17" i="33"/>
  <c r="F17" i="33"/>
  <c r="D17" i="33"/>
  <c r="C17" i="33"/>
  <c r="C11" i="33" s="1"/>
  <c r="I12" i="33"/>
  <c r="H12" i="33"/>
  <c r="E12" i="33"/>
  <c r="D12" i="33"/>
  <c r="C7" i="32"/>
  <c r="C22" i="33" l="1"/>
  <c r="L17" i="35"/>
  <c r="I11" i="33"/>
  <c r="I24" i="33" s="1"/>
  <c r="R41" i="20"/>
  <c r="E23" i="35"/>
  <c r="F23" i="35"/>
  <c r="K23" i="35"/>
  <c r="D23" i="35"/>
  <c r="D11" i="33"/>
  <c r="H11" i="33"/>
  <c r="H24" i="33" s="1"/>
  <c r="C24" i="33" l="1"/>
  <c r="L23" i="35"/>
  <c r="F16" i="17"/>
  <c r="E16" i="17"/>
  <c r="F21" i="17"/>
  <c r="E21" i="17"/>
  <c r="G16" i="17" l="1"/>
  <c r="G21" i="17"/>
  <c r="H119" i="3"/>
  <c r="H120" i="3"/>
  <c r="H118" i="3"/>
  <c r="H121" i="3"/>
  <c r="H122" i="3"/>
  <c r="H123" i="3"/>
  <c r="C52" i="32" l="1"/>
  <c r="H293" i="3"/>
  <c r="I27" i="31" l="1"/>
  <c r="N59" i="20" l="1"/>
  <c r="F59" i="20"/>
  <c r="N58" i="20"/>
  <c r="F58" i="20"/>
  <c r="Q30" i="20"/>
  <c r="G7" i="20"/>
  <c r="G54" i="19"/>
  <c r="D54" i="19"/>
  <c r="G53" i="19"/>
  <c r="D53" i="19"/>
  <c r="D7" i="19"/>
  <c r="H51" i="18"/>
  <c r="D51" i="18"/>
  <c r="H50" i="18"/>
  <c r="D50" i="18"/>
  <c r="J34" i="18"/>
  <c r="I34" i="18"/>
  <c r="J20" i="18"/>
  <c r="I20" i="18"/>
  <c r="D7" i="18"/>
  <c r="F41" i="17"/>
  <c r="C41" i="17"/>
  <c r="F40" i="17"/>
  <c r="C40" i="17"/>
  <c r="E23" i="17"/>
  <c r="F14" i="17"/>
  <c r="E17" i="17"/>
  <c r="E14" i="17" s="1"/>
  <c r="D7" i="17"/>
  <c r="C43" i="16"/>
  <c r="C42" i="16"/>
  <c r="G34" i="16"/>
  <c r="F34" i="16"/>
  <c r="G33" i="16"/>
  <c r="F33" i="16"/>
  <c r="G32" i="16"/>
  <c r="F32" i="16"/>
  <c r="G31" i="16"/>
  <c r="F31" i="16"/>
  <c r="G30" i="16"/>
  <c r="F30" i="16"/>
  <c r="G29" i="16"/>
  <c r="F29" i="16"/>
  <c r="G28" i="16"/>
  <c r="F28" i="16"/>
  <c r="G27" i="16"/>
  <c r="F27" i="16"/>
  <c r="G26" i="16"/>
  <c r="F26" i="16"/>
  <c r="G23" i="16"/>
  <c r="F23" i="16"/>
  <c r="G22" i="16"/>
  <c r="F22" i="16"/>
  <c r="G21" i="16"/>
  <c r="F21" i="16"/>
  <c r="G20" i="16"/>
  <c r="F20" i="16"/>
  <c r="G19" i="16"/>
  <c r="F19" i="16"/>
  <c r="G18" i="16"/>
  <c r="F18" i="16"/>
  <c r="G17" i="16"/>
  <c r="F17" i="16"/>
  <c r="D7" i="16"/>
  <c r="H62" i="15"/>
  <c r="D62" i="15"/>
  <c r="H61" i="15"/>
  <c r="D61" i="15"/>
  <c r="D7" i="15"/>
  <c r="H72" i="14"/>
  <c r="D72" i="14"/>
  <c r="H71" i="14"/>
  <c r="D71" i="14"/>
  <c r="K59" i="14"/>
  <c r="J59" i="14"/>
  <c r="K58" i="14"/>
  <c r="J58" i="14"/>
  <c r="K54" i="14"/>
  <c r="J54" i="14"/>
  <c r="K53" i="14"/>
  <c r="J53" i="14"/>
  <c r="K52" i="14"/>
  <c r="J52" i="14"/>
  <c r="K51" i="14"/>
  <c r="J51" i="14"/>
  <c r="K46" i="14"/>
  <c r="J46" i="14"/>
  <c r="K45" i="14"/>
  <c r="J45" i="14"/>
  <c r="F37" i="14"/>
  <c r="E37" i="14"/>
  <c r="F36" i="14"/>
  <c r="E36" i="14"/>
  <c r="F35" i="14"/>
  <c r="E35" i="14"/>
  <c r="K34" i="14"/>
  <c r="J34" i="14"/>
  <c r="F34" i="14"/>
  <c r="E34" i="14"/>
  <c r="K33" i="14"/>
  <c r="J33" i="14"/>
  <c r="F33" i="14"/>
  <c r="E33" i="14"/>
  <c r="K32" i="14"/>
  <c r="J32" i="14"/>
  <c r="F32" i="14"/>
  <c r="E32" i="14"/>
  <c r="K31" i="14"/>
  <c r="J31" i="14"/>
  <c r="F31" i="14"/>
  <c r="E31" i="14"/>
  <c r="K30" i="14"/>
  <c r="J30" i="14"/>
  <c r="F30" i="14"/>
  <c r="E30" i="14"/>
  <c r="K29" i="14"/>
  <c r="K36" i="14" s="1"/>
  <c r="J29" i="14"/>
  <c r="F29" i="14"/>
  <c r="E29" i="14"/>
  <c r="K23" i="14"/>
  <c r="J23" i="14"/>
  <c r="K22" i="14"/>
  <c r="J22" i="14"/>
  <c r="K21" i="14"/>
  <c r="J21" i="14"/>
  <c r="F21" i="14"/>
  <c r="E21" i="14"/>
  <c r="K20" i="14"/>
  <c r="J20" i="14"/>
  <c r="F20" i="14"/>
  <c r="E20" i="14"/>
  <c r="K19" i="14"/>
  <c r="J19" i="14"/>
  <c r="F19" i="14"/>
  <c r="E19" i="14"/>
  <c r="K18" i="14"/>
  <c r="J18" i="14"/>
  <c r="F18" i="14"/>
  <c r="E18" i="14"/>
  <c r="K17" i="14"/>
  <c r="J17" i="14"/>
  <c r="F17" i="14"/>
  <c r="E17" i="14"/>
  <c r="K16" i="14"/>
  <c r="J16" i="14"/>
  <c r="F16" i="14"/>
  <c r="E16" i="14"/>
  <c r="D5" i="14"/>
  <c r="H71" i="13"/>
  <c r="D71" i="13"/>
  <c r="H70" i="13"/>
  <c r="D70" i="13"/>
  <c r="I29" i="18"/>
  <c r="D7" i="13"/>
  <c r="G64" i="12"/>
  <c r="C64" i="12"/>
  <c r="G63" i="12"/>
  <c r="C63" i="12"/>
  <c r="J51" i="12"/>
  <c r="J50" i="12" s="1"/>
  <c r="I51" i="12"/>
  <c r="I50" i="12" s="1"/>
  <c r="J48" i="12"/>
  <c r="I48" i="12"/>
  <c r="J47" i="12"/>
  <c r="I47" i="12"/>
  <c r="J46" i="12"/>
  <c r="I46" i="12"/>
  <c r="J45" i="12"/>
  <c r="I45" i="12"/>
  <c r="J44" i="12"/>
  <c r="I44" i="12"/>
  <c r="J40" i="12"/>
  <c r="I40" i="12"/>
  <c r="J39" i="12"/>
  <c r="I39" i="12"/>
  <c r="J38" i="12"/>
  <c r="I38" i="12"/>
  <c r="J37" i="12"/>
  <c r="I37" i="12"/>
  <c r="J36" i="12"/>
  <c r="I36" i="12"/>
  <c r="J33" i="12"/>
  <c r="I33" i="12"/>
  <c r="E33" i="12"/>
  <c r="D33" i="12"/>
  <c r="J32" i="12"/>
  <c r="I32" i="12"/>
  <c r="E32" i="12"/>
  <c r="D32" i="12"/>
  <c r="J31" i="12"/>
  <c r="J30" i="12" s="1"/>
  <c r="I31" i="12"/>
  <c r="E31" i="12"/>
  <c r="D31" i="12"/>
  <c r="E30" i="12"/>
  <c r="D30" i="12"/>
  <c r="E29" i="12"/>
  <c r="D29" i="12"/>
  <c r="J28" i="12"/>
  <c r="I28" i="12"/>
  <c r="J27" i="12"/>
  <c r="I27" i="12"/>
  <c r="J26" i="12"/>
  <c r="I26" i="12"/>
  <c r="E26" i="12"/>
  <c r="D26" i="12"/>
  <c r="J25" i="12"/>
  <c r="I25" i="12"/>
  <c r="E25" i="12"/>
  <c r="D25" i="12"/>
  <c r="D24" i="12" s="1"/>
  <c r="J24" i="12"/>
  <c r="I24" i="12"/>
  <c r="J23" i="12"/>
  <c r="I23" i="12"/>
  <c r="J22" i="12"/>
  <c r="I22" i="12"/>
  <c r="E22" i="12"/>
  <c r="D22" i="12"/>
  <c r="J21" i="12"/>
  <c r="I21" i="12"/>
  <c r="E21" i="12"/>
  <c r="D21" i="12"/>
  <c r="J20" i="12"/>
  <c r="I20" i="12"/>
  <c r="E20" i="12"/>
  <c r="D20" i="12"/>
  <c r="E19" i="12"/>
  <c r="D19" i="12"/>
  <c r="E18" i="12"/>
  <c r="D18" i="12"/>
  <c r="J17" i="12"/>
  <c r="I17" i="12"/>
  <c r="E17" i="12"/>
  <c r="D17" i="12"/>
  <c r="J16" i="12"/>
  <c r="I16" i="12"/>
  <c r="E16" i="12"/>
  <c r="D16" i="12"/>
  <c r="J15" i="12"/>
  <c r="J14" i="12" s="1"/>
  <c r="I15" i="12"/>
  <c r="I14" i="12" s="1"/>
  <c r="E15" i="12"/>
  <c r="D15" i="12"/>
  <c r="C8" i="12"/>
  <c r="H64" i="11"/>
  <c r="D64" i="11"/>
  <c r="H63" i="11"/>
  <c r="D63" i="11"/>
  <c r="K49" i="11"/>
  <c r="D7" i="11"/>
  <c r="G673" i="3"/>
  <c r="F673" i="3"/>
  <c r="E673" i="3"/>
  <c r="E676" i="3" s="1"/>
  <c r="H672" i="3"/>
  <c r="H671" i="3"/>
  <c r="H670" i="3"/>
  <c r="H669" i="3"/>
  <c r="H668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J611" i="3"/>
  <c r="H611" i="3"/>
  <c r="J610" i="3"/>
  <c r="H610" i="3"/>
  <c r="K610" i="3" s="1"/>
  <c r="J609" i="3"/>
  <c r="H609" i="3"/>
  <c r="K609" i="3" s="1"/>
  <c r="J608" i="3"/>
  <c r="H608" i="3"/>
  <c r="K608" i="3" s="1"/>
  <c r="J607" i="3"/>
  <c r="H607" i="3"/>
  <c r="K607" i="3" s="1"/>
  <c r="J606" i="3"/>
  <c r="H606" i="3"/>
  <c r="K606" i="3" s="1"/>
  <c r="J605" i="3"/>
  <c r="H605" i="3"/>
  <c r="K605" i="3" s="1"/>
  <c r="J604" i="3"/>
  <c r="H604" i="3"/>
  <c r="K604" i="3" s="1"/>
  <c r="J603" i="3"/>
  <c r="H603" i="3"/>
  <c r="K603" i="3" s="1"/>
  <c r="J602" i="3"/>
  <c r="H602" i="3"/>
  <c r="J46" i="11" s="1"/>
  <c r="J601" i="3"/>
  <c r="H601" i="3"/>
  <c r="J45" i="11" s="1"/>
  <c r="J600" i="3"/>
  <c r="H600" i="3"/>
  <c r="K600" i="3" s="1"/>
  <c r="J599" i="3"/>
  <c r="H599" i="3"/>
  <c r="K599" i="3" s="1"/>
  <c r="J598" i="3"/>
  <c r="H598" i="3"/>
  <c r="K598" i="3" s="1"/>
  <c r="J597" i="3"/>
  <c r="H597" i="3"/>
  <c r="K597" i="3" s="1"/>
  <c r="J596" i="3"/>
  <c r="H596" i="3"/>
  <c r="K596" i="3" s="1"/>
  <c r="J595" i="3"/>
  <c r="H595" i="3"/>
  <c r="K595" i="3" s="1"/>
  <c r="J594" i="3"/>
  <c r="H594" i="3"/>
  <c r="K594" i="3" s="1"/>
  <c r="J593" i="3"/>
  <c r="H593" i="3"/>
  <c r="K593" i="3" s="1"/>
  <c r="J592" i="3"/>
  <c r="H592" i="3"/>
  <c r="K592" i="3" s="1"/>
  <c r="J591" i="3"/>
  <c r="H591" i="3"/>
  <c r="K591" i="3" s="1"/>
  <c r="J590" i="3"/>
  <c r="H590" i="3"/>
  <c r="K590" i="3" s="1"/>
  <c r="J589" i="3"/>
  <c r="H589" i="3"/>
  <c r="K589" i="3" s="1"/>
  <c r="J587" i="3"/>
  <c r="H587" i="3"/>
  <c r="K587" i="3" s="1"/>
  <c r="J586" i="3"/>
  <c r="H586" i="3"/>
  <c r="K586" i="3" s="1"/>
  <c r="J585" i="3"/>
  <c r="H585" i="3"/>
  <c r="K585" i="3" s="1"/>
  <c r="J584" i="3"/>
  <c r="H584" i="3"/>
  <c r="K584" i="3" s="1"/>
  <c r="J583" i="3"/>
  <c r="H583" i="3"/>
  <c r="K583" i="3" s="1"/>
  <c r="J582" i="3"/>
  <c r="H582" i="3"/>
  <c r="K582" i="3" s="1"/>
  <c r="J581" i="3"/>
  <c r="H581" i="3"/>
  <c r="K581" i="3" s="1"/>
  <c r="J580" i="3"/>
  <c r="H580" i="3"/>
  <c r="K580" i="3" s="1"/>
  <c r="J579" i="3"/>
  <c r="H579" i="3"/>
  <c r="K579" i="3" s="1"/>
  <c r="J578" i="3"/>
  <c r="H578" i="3"/>
  <c r="K578" i="3" s="1"/>
  <c r="J577" i="3"/>
  <c r="H577" i="3"/>
  <c r="K577" i="3" s="1"/>
  <c r="J576" i="3"/>
  <c r="H576" i="3"/>
  <c r="K576" i="3" s="1"/>
  <c r="J575" i="3"/>
  <c r="H575" i="3"/>
  <c r="K575" i="3" s="1"/>
  <c r="J574" i="3"/>
  <c r="H574" i="3"/>
  <c r="K574" i="3" s="1"/>
  <c r="J573" i="3"/>
  <c r="H573" i="3"/>
  <c r="K573" i="3" s="1"/>
  <c r="J572" i="3"/>
  <c r="H572" i="3"/>
  <c r="K572" i="3" s="1"/>
  <c r="J571" i="3"/>
  <c r="H571" i="3"/>
  <c r="K571" i="3" s="1"/>
  <c r="J570" i="3"/>
  <c r="H570" i="3"/>
  <c r="K570" i="3" s="1"/>
  <c r="J569" i="3"/>
  <c r="H569" i="3"/>
  <c r="K569" i="3" s="1"/>
  <c r="J568" i="3"/>
  <c r="H568" i="3"/>
  <c r="K568" i="3" s="1"/>
  <c r="J567" i="3"/>
  <c r="H567" i="3"/>
  <c r="K567" i="3" s="1"/>
  <c r="J566" i="3"/>
  <c r="H566" i="3"/>
  <c r="K566" i="3" s="1"/>
  <c r="J565" i="3"/>
  <c r="H565" i="3"/>
  <c r="K565" i="3" s="1"/>
  <c r="J564" i="3"/>
  <c r="H564" i="3"/>
  <c r="K564" i="3" s="1"/>
  <c r="J563" i="3"/>
  <c r="H563" i="3"/>
  <c r="K563" i="3" s="1"/>
  <c r="J562" i="3"/>
  <c r="H562" i="3"/>
  <c r="K562" i="3" s="1"/>
  <c r="J561" i="3"/>
  <c r="H561" i="3"/>
  <c r="K561" i="3" s="1"/>
  <c r="J560" i="3"/>
  <c r="H560" i="3"/>
  <c r="K560" i="3" s="1"/>
  <c r="J559" i="3"/>
  <c r="H559" i="3"/>
  <c r="K559" i="3" s="1"/>
  <c r="J558" i="3"/>
  <c r="H558" i="3"/>
  <c r="K558" i="3" s="1"/>
  <c r="J557" i="3"/>
  <c r="H557" i="3"/>
  <c r="K557" i="3" s="1"/>
  <c r="J556" i="3"/>
  <c r="H556" i="3"/>
  <c r="K556" i="3" s="1"/>
  <c r="J555" i="3"/>
  <c r="H555" i="3"/>
  <c r="K555" i="3" s="1"/>
  <c r="J554" i="3"/>
  <c r="H554" i="3"/>
  <c r="K554" i="3" s="1"/>
  <c r="J553" i="3"/>
  <c r="H553" i="3"/>
  <c r="K553" i="3" s="1"/>
  <c r="J552" i="3"/>
  <c r="H552" i="3"/>
  <c r="K552" i="3" s="1"/>
  <c r="J551" i="3"/>
  <c r="H551" i="3"/>
  <c r="K551" i="3" s="1"/>
  <c r="J550" i="3"/>
  <c r="H550" i="3"/>
  <c r="K550" i="3" s="1"/>
  <c r="J549" i="3"/>
  <c r="H549" i="3"/>
  <c r="K549" i="3" s="1"/>
  <c r="J548" i="3"/>
  <c r="H548" i="3"/>
  <c r="K548" i="3" s="1"/>
  <c r="J547" i="3"/>
  <c r="H547" i="3"/>
  <c r="K547" i="3" s="1"/>
  <c r="J546" i="3"/>
  <c r="H546" i="3"/>
  <c r="K546" i="3" s="1"/>
  <c r="J545" i="3"/>
  <c r="H545" i="3"/>
  <c r="J544" i="3"/>
  <c r="H544" i="3"/>
  <c r="J543" i="3"/>
  <c r="H543" i="3"/>
  <c r="K543" i="3" s="1"/>
  <c r="J542" i="3"/>
  <c r="H542" i="3"/>
  <c r="J541" i="3"/>
  <c r="H541" i="3"/>
  <c r="J38" i="11" s="1"/>
  <c r="J540" i="3"/>
  <c r="H540" i="3"/>
  <c r="K540" i="3" s="1"/>
  <c r="J539" i="3"/>
  <c r="H539" i="3"/>
  <c r="J538" i="3"/>
  <c r="H538" i="3"/>
  <c r="K538" i="3" s="1"/>
  <c r="J537" i="3"/>
  <c r="H537" i="3"/>
  <c r="K537" i="3" s="1"/>
  <c r="J536" i="3"/>
  <c r="H536" i="3"/>
  <c r="K536" i="3" s="1"/>
  <c r="J535" i="3"/>
  <c r="H535" i="3"/>
  <c r="J534" i="3"/>
  <c r="H534" i="3"/>
  <c r="K534" i="3" s="1"/>
  <c r="J533" i="3"/>
  <c r="H533" i="3"/>
  <c r="J532" i="3"/>
  <c r="H532" i="3"/>
  <c r="K532" i="3" s="1"/>
  <c r="J531" i="3"/>
  <c r="H531" i="3"/>
  <c r="J530" i="3"/>
  <c r="H530" i="3"/>
  <c r="K530" i="3" s="1"/>
  <c r="J529" i="3"/>
  <c r="H529" i="3"/>
  <c r="J528" i="3"/>
  <c r="H528" i="3"/>
  <c r="K528" i="3" s="1"/>
  <c r="J527" i="3"/>
  <c r="H527" i="3"/>
  <c r="J526" i="3"/>
  <c r="H526" i="3"/>
  <c r="K526" i="3" s="1"/>
  <c r="J525" i="3"/>
  <c r="H525" i="3"/>
  <c r="K525" i="3" s="1"/>
  <c r="J524" i="3"/>
  <c r="H524" i="3"/>
  <c r="K524" i="3" s="1"/>
  <c r="J523" i="3"/>
  <c r="H523" i="3"/>
  <c r="K523" i="3" s="1"/>
  <c r="J522" i="3"/>
  <c r="H522" i="3"/>
  <c r="J521" i="3"/>
  <c r="H521" i="3"/>
  <c r="J25" i="11" s="1"/>
  <c r="I39" i="20" s="1"/>
  <c r="J520" i="3"/>
  <c r="H520" i="3"/>
  <c r="K520" i="3" s="1"/>
  <c r="J519" i="3"/>
  <c r="H519" i="3"/>
  <c r="K519" i="3" s="1"/>
  <c r="J518" i="3"/>
  <c r="H518" i="3"/>
  <c r="K518" i="3" s="1"/>
  <c r="J517" i="3"/>
  <c r="H517" i="3"/>
  <c r="J516" i="3"/>
  <c r="H516" i="3"/>
  <c r="K516" i="3" s="1"/>
  <c r="J515" i="3"/>
  <c r="H515" i="3"/>
  <c r="K515" i="3" s="1"/>
  <c r="J514" i="3"/>
  <c r="H514" i="3"/>
  <c r="K514" i="3" s="1"/>
  <c r="J513" i="3"/>
  <c r="H513" i="3"/>
  <c r="K513" i="3" s="1"/>
  <c r="J512" i="3"/>
  <c r="H512" i="3"/>
  <c r="K512" i="3" s="1"/>
  <c r="J511" i="3"/>
  <c r="H511" i="3"/>
  <c r="K511" i="3" s="1"/>
  <c r="J510" i="3"/>
  <c r="H510" i="3"/>
  <c r="K510" i="3" s="1"/>
  <c r="J509" i="3"/>
  <c r="H509" i="3"/>
  <c r="J508" i="3"/>
  <c r="H508" i="3"/>
  <c r="K508" i="3" s="1"/>
  <c r="J507" i="3"/>
  <c r="H507" i="3"/>
  <c r="K507" i="3" s="1"/>
  <c r="J506" i="3"/>
  <c r="H506" i="3"/>
  <c r="J505" i="3"/>
  <c r="H505" i="3"/>
  <c r="K505" i="3" s="1"/>
  <c r="J504" i="3"/>
  <c r="H504" i="3"/>
  <c r="K504" i="3" s="1"/>
  <c r="J503" i="3"/>
  <c r="H503" i="3"/>
  <c r="K503" i="3" s="1"/>
  <c r="J502" i="3"/>
  <c r="H502" i="3"/>
  <c r="K502" i="3" s="1"/>
  <c r="J501" i="3"/>
  <c r="H501" i="3"/>
  <c r="K501" i="3" s="1"/>
  <c r="J500" i="3"/>
  <c r="H500" i="3"/>
  <c r="K500" i="3" s="1"/>
  <c r="J499" i="3"/>
  <c r="H499" i="3"/>
  <c r="K499" i="3" s="1"/>
  <c r="J498" i="3"/>
  <c r="H498" i="3"/>
  <c r="K498" i="3" s="1"/>
  <c r="J497" i="3"/>
  <c r="H497" i="3"/>
  <c r="J496" i="3"/>
  <c r="H496" i="3"/>
  <c r="K496" i="3" s="1"/>
  <c r="J495" i="3"/>
  <c r="H495" i="3"/>
  <c r="K495" i="3" s="1"/>
  <c r="J494" i="3"/>
  <c r="H494" i="3"/>
  <c r="K494" i="3" s="1"/>
  <c r="J493" i="3"/>
  <c r="H493" i="3"/>
  <c r="K493" i="3" s="1"/>
  <c r="J492" i="3"/>
  <c r="H492" i="3"/>
  <c r="K492" i="3" s="1"/>
  <c r="J491" i="3"/>
  <c r="H491" i="3"/>
  <c r="K491" i="3" s="1"/>
  <c r="J490" i="3"/>
  <c r="H490" i="3"/>
  <c r="K490" i="3" s="1"/>
  <c r="J489" i="3"/>
  <c r="K489" i="3"/>
  <c r="J488" i="3"/>
  <c r="H488" i="3"/>
  <c r="J487" i="3"/>
  <c r="H487" i="3"/>
  <c r="K487" i="3" s="1"/>
  <c r="J486" i="3"/>
  <c r="H486" i="3"/>
  <c r="K486" i="3" s="1"/>
  <c r="J485" i="3"/>
  <c r="H485" i="3"/>
  <c r="K485" i="3" s="1"/>
  <c r="J484" i="3"/>
  <c r="H484" i="3"/>
  <c r="K484" i="3" s="1"/>
  <c r="J483" i="3"/>
  <c r="H483" i="3"/>
  <c r="J482" i="3"/>
  <c r="H482" i="3"/>
  <c r="K482" i="3" s="1"/>
  <c r="H481" i="3"/>
  <c r="H480" i="3"/>
  <c r="H479" i="3"/>
  <c r="H478" i="3"/>
  <c r="H477" i="3"/>
  <c r="H476" i="3"/>
  <c r="H475" i="3"/>
  <c r="H474" i="3"/>
  <c r="E31" i="11" s="1"/>
  <c r="H473" i="3"/>
  <c r="E30" i="11" s="1"/>
  <c r="H472" i="3"/>
  <c r="H471" i="3"/>
  <c r="H470" i="3"/>
  <c r="H469" i="3"/>
  <c r="H468" i="3"/>
  <c r="H467" i="3"/>
  <c r="H466" i="3"/>
  <c r="H465" i="3"/>
  <c r="H464" i="3"/>
  <c r="H463" i="3"/>
  <c r="H462" i="3"/>
  <c r="H461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8" i="3"/>
  <c r="H417" i="3"/>
  <c r="H416" i="3"/>
  <c r="H415" i="3"/>
  <c r="H414" i="3"/>
  <c r="H413" i="3"/>
  <c r="H412" i="3"/>
  <c r="H411" i="3"/>
  <c r="H410" i="3"/>
  <c r="H409" i="3"/>
  <c r="J52" i="13"/>
  <c r="F38" i="19" s="1"/>
  <c r="F36" i="19" s="1"/>
  <c r="F47" i="19" s="1"/>
  <c r="H405" i="3"/>
  <c r="H404" i="3"/>
  <c r="H403" i="3"/>
  <c r="H402" i="3"/>
  <c r="H401" i="3"/>
  <c r="H398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G52" i="32" s="1"/>
  <c r="H360" i="3"/>
  <c r="G51" i="32" s="1"/>
  <c r="H359" i="3"/>
  <c r="G50" i="32" s="1"/>
  <c r="H358" i="3"/>
  <c r="G48" i="32" s="1"/>
  <c r="H357" i="3"/>
  <c r="G47" i="32" s="1"/>
  <c r="H356" i="3"/>
  <c r="G46" i="32" s="1"/>
  <c r="H355" i="3"/>
  <c r="H354" i="3"/>
  <c r="H353" i="3"/>
  <c r="G43" i="32" s="1"/>
  <c r="H352" i="3"/>
  <c r="G42" i="32" s="1"/>
  <c r="H351" i="3"/>
  <c r="G41" i="32" s="1"/>
  <c r="H350" i="3"/>
  <c r="G40" i="32" s="1"/>
  <c r="H349" i="3"/>
  <c r="G39" i="32" s="1"/>
  <c r="H348" i="3"/>
  <c r="G37" i="32" s="1"/>
  <c r="H347" i="3"/>
  <c r="G36" i="32" s="1"/>
  <c r="H346" i="3"/>
  <c r="G35" i="32" s="1"/>
  <c r="H345" i="3"/>
  <c r="H344" i="3"/>
  <c r="H343" i="3"/>
  <c r="H342" i="3"/>
  <c r="H341" i="3"/>
  <c r="H340" i="3"/>
  <c r="H339" i="3"/>
  <c r="H338" i="3"/>
  <c r="H337" i="3"/>
  <c r="G29" i="32" s="1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G24" i="32" s="1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17" i="3"/>
  <c r="H116" i="3"/>
  <c r="H115" i="3"/>
  <c r="H114" i="3"/>
  <c r="H113" i="3"/>
  <c r="C50" i="32" s="1"/>
  <c r="H112" i="3"/>
  <c r="C49" i="32" s="1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C39" i="32" s="1"/>
  <c r="H64" i="3"/>
  <c r="C37" i="32" s="1"/>
  <c r="H63" i="3"/>
  <c r="H62" i="3"/>
  <c r="H61" i="3"/>
  <c r="C35" i="32" s="1"/>
  <c r="H60" i="3"/>
  <c r="H59" i="3"/>
  <c r="H58" i="3"/>
  <c r="H57" i="3"/>
  <c r="C31" i="32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8" i="3"/>
  <c r="C27" i="32" s="1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C23" i="32" s="1"/>
  <c r="H24" i="3"/>
  <c r="H23" i="3"/>
  <c r="H22" i="3"/>
  <c r="H21" i="3"/>
  <c r="H20" i="3"/>
  <c r="H19" i="3"/>
  <c r="C21" i="32" s="1"/>
  <c r="H18" i="3"/>
  <c r="H17" i="3"/>
  <c r="H16" i="3"/>
  <c r="H15" i="3"/>
  <c r="H14" i="3"/>
  <c r="H13" i="3"/>
  <c r="H12" i="3"/>
  <c r="C17" i="32" s="1"/>
  <c r="B8" i="3"/>
  <c r="E24" i="12" l="1"/>
  <c r="E24" i="11"/>
  <c r="C675" i="3"/>
  <c r="E18" i="36"/>
  <c r="F18" i="36" s="1"/>
  <c r="E19" i="36"/>
  <c r="F19" i="36" s="1"/>
  <c r="E20" i="36"/>
  <c r="F20" i="36" s="1"/>
  <c r="E21" i="36"/>
  <c r="F21" i="36" s="1"/>
  <c r="E22" i="36"/>
  <c r="F22" i="36" s="1"/>
  <c r="J23" i="36"/>
  <c r="K23" i="36" s="1"/>
  <c r="E27" i="36"/>
  <c r="F27" i="36" s="1"/>
  <c r="E28" i="36"/>
  <c r="F28" i="36" s="1"/>
  <c r="E29" i="36"/>
  <c r="F29" i="36" s="1"/>
  <c r="E30" i="36"/>
  <c r="F30" i="36" s="1"/>
  <c r="E31" i="36"/>
  <c r="F31" i="36" s="1"/>
  <c r="E32" i="36"/>
  <c r="F32" i="36" s="1"/>
  <c r="E33" i="36"/>
  <c r="F33" i="36" s="1"/>
  <c r="E35" i="36"/>
  <c r="F35" i="36" s="1"/>
  <c r="J41" i="36"/>
  <c r="K41" i="36" s="1"/>
  <c r="J47" i="36"/>
  <c r="K47" i="36" s="1"/>
  <c r="J49" i="36"/>
  <c r="K49" i="36" s="1"/>
  <c r="J54" i="36"/>
  <c r="K54" i="36" s="1"/>
  <c r="C34" i="32"/>
  <c r="G18" i="32"/>
  <c r="G32" i="32"/>
  <c r="G44" i="32"/>
  <c r="G38" i="32" s="1"/>
  <c r="C29" i="32"/>
  <c r="G45" i="32"/>
  <c r="J17" i="36"/>
  <c r="K17" i="36" s="1"/>
  <c r="J18" i="36"/>
  <c r="K18" i="36" s="1"/>
  <c r="J19" i="36"/>
  <c r="K19" i="36" s="1"/>
  <c r="J20" i="36"/>
  <c r="K20" i="36" s="1"/>
  <c r="J21" i="36"/>
  <c r="K21" i="36" s="1"/>
  <c r="J22" i="36"/>
  <c r="K22" i="36" s="1"/>
  <c r="J24" i="36"/>
  <c r="K24" i="36" s="1"/>
  <c r="J29" i="36"/>
  <c r="K29" i="36" s="1"/>
  <c r="J30" i="36"/>
  <c r="K30" i="36" s="1"/>
  <c r="J31" i="36"/>
  <c r="K31" i="36" s="1"/>
  <c r="J32" i="36"/>
  <c r="K32" i="36" s="1"/>
  <c r="J33" i="36"/>
  <c r="K33" i="36" s="1"/>
  <c r="E34" i="36"/>
  <c r="F34" i="36" s="1"/>
  <c r="J40" i="36"/>
  <c r="K40" i="36" s="1"/>
  <c r="J46" i="36"/>
  <c r="K46" i="36" s="1"/>
  <c r="J48" i="36"/>
  <c r="K48" i="36" s="1"/>
  <c r="J53" i="36"/>
  <c r="K53" i="36" s="1"/>
  <c r="I30" i="12"/>
  <c r="C22" i="32"/>
  <c r="C30" i="32"/>
  <c r="C33" i="32"/>
  <c r="C75" i="32"/>
  <c r="G17" i="32"/>
  <c r="G19" i="32"/>
  <c r="G22" i="32"/>
  <c r="G25" i="32"/>
  <c r="G27" i="32"/>
  <c r="G33" i="32"/>
  <c r="C18" i="32"/>
  <c r="C20" i="32"/>
  <c r="C36" i="32"/>
  <c r="G88" i="32"/>
  <c r="C74" i="32"/>
  <c r="G96" i="32"/>
  <c r="G41" i="19" s="1"/>
  <c r="I41" i="19" s="1"/>
  <c r="E17" i="36"/>
  <c r="F17" i="36" s="1"/>
  <c r="J59" i="13"/>
  <c r="H44" i="19" s="1"/>
  <c r="G100" i="32"/>
  <c r="C26" i="32"/>
  <c r="C40" i="32"/>
  <c r="C41" i="32"/>
  <c r="C42" i="32"/>
  <c r="C43" i="32"/>
  <c r="C44" i="32"/>
  <c r="C46" i="32"/>
  <c r="C51" i="32"/>
  <c r="C48" i="32" s="1"/>
  <c r="C71" i="32"/>
  <c r="C76" i="32"/>
  <c r="C77" i="32"/>
  <c r="G21" i="32"/>
  <c r="G23" i="32"/>
  <c r="G73" i="32"/>
  <c r="E18" i="33" s="1"/>
  <c r="G76" i="32"/>
  <c r="G86" i="32"/>
  <c r="J45" i="13"/>
  <c r="E32" i="19" s="1"/>
  <c r="G87" i="32"/>
  <c r="J60" i="13"/>
  <c r="G101" i="32"/>
  <c r="C25" i="32"/>
  <c r="C47" i="32"/>
  <c r="G20" i="32"/>
  <c r="J19" i="13"/>
  <c r="J16" i="18" s="1"/>
  <c r="G31" i="32"/>
  <c r="G34" i="32"/>
  <c r="G71" i="32"/>
  <c r="G75" i="32"/>
  <c r="C19" i="32"/>
  <c r="C28" i="32"/>
  <c r="C72" i="32"/>
  <c r="C73" i="32"/>
  <c r="C78" i="32"/>
  <c r="C79" i="32"/>
  <c r="G28" i="32"/>
  <c r="G49" i="32"/>
  <c r="G72" i="32"/>
  <c r="G74" i="32"/>
  <c r="G94" i="32"/>
  <c r="G39" i="19" s="1"/>
  <c r="G95" i="32"/>
  <c r="G40" i="19" s="1"/>
  <c r="J36" i="14"/>
  <c r="J28" i="36"/>
  <c r="E24" i="14"/>
  <c r="K544" i="3"/>
  <c r="J42" i="11"/>
  <c r="F19" i="17"/>
  <c r="F25" i="17" s="1"/>
  <c r="G22" i="17"/>
  <c r="E19" i="17"/>
  <c r="E25" i="17" s="1"/>
  <c r="I40" i="18"/>
  <c r="J15" i="11"/>
  <c r="I30" i="20" s="1"/>
  <c r="J27" i="11"/>
  <c r="I41" i="20" s="1"/>
  <c r="K521" i="3"/>
  <c r="J37" i="11"/>
  <c r="K602" i="3"/>
  <c r="E23" i="13"/>
  <c r="E24" i="15" s="1"/>
  <c r="F24" i="15" s="1"/>
  <c r="K56" i="14"/>
  <c r="I19" i="12"/>
  <c r="J19" i="12"/>
  <c r="K527" i="3"/>
  <c r="H31" i="16"/>
  <c r="I31" i="16" s="1"/>
  <c r="K57" i="13"/>
  <c r="J14" i="11"/>
  <c r="I29" i="20" s="1"/>
  <c r="J31" i="11"/>
  <c r="I44" i="20" s="1"/>
  <c r="H28" i="16"/>
  <c r="I28" i="16" s="1"/>
  <c r="K34" i="11"/>
  <c r="E14" i="12"/>
  <c r="K42" i="14"/>
  <c r="J42" i="12"/>
  <c r="J42" i="14"/>
  <c r="J20" i="11"/>
  <c r="I34" i="20" s="1"/>
  <c r="H22" i="16"/>
  <c r="I22" i="16" s="1"/>
  <c r="J20" i="13"/>
  <c r="J21" i="15" s="1"/>
  <c r="K21" i="15" s="1"/>
  <c r="J46" i="13"/>
  <c r="E28" i="11"/>
  <c r="I482" i="3"/>
  <c r="I483" i="3" s="1"/>
  <c r="I484" i="3" s="1"/>
  <c r="I485" i="3" s="1"/>
  <c r="I486" i="3" s="1"/>
  <c r="I487" i="3" s="1"/>
  <c r="I488" i="3" s="1"/>
  <c r="I489" i="3" s="1"/>
  <c r="I490" i="3" s="1"/>
  <c r="I491" i="3" s="1"/>
  <c r="I492" i="3" s="1"/>
  <c r="I493" i="3" s="1"/>
  <c r="I494" i="3" s="1"/>
  <c r="I495" i="3" s="1"/>
  <c r="I496" i="3" s="1"/>
  <c r="I497" i="3" s="1"/>
  <c r="I498" i="3" s="1"/>
  <c r="I499" i="3" s="1"/>
  <c r="I500" i="3" s="1"/>
  <c r="I501" i="3" s="1"/>
  <c r="I502" i="3" s="1"/>
  <c r="I503" i="3" s="1"/>
  <c r="I504" i="3" s="1"/>
  <c r="I505" i="3" s="1"/>
  <c r="I506" i="3" s="1"/>
  <c r="I507" i="3" s="1"/>
  <c r="I508" i="3" s="1"/>
  <c r="I509" i="3" s="1"/>
  <c r="I510" i="3" s="1"/>
  <c r="I511" i="3" s="1"/>
  <c r="I512" i="3" s="1"/>
  <c r="I513" i="3" s="1"/>
  <c r="I514" i="3" s="1"/>
  <c r="I515" i="3" s="1"/>
  <c r="I516" i="3" s="1"/>
  <c r="I517" i="3" s="1"/>
  <c r="I518" i="3" s="1"/>
  <c r="I519" i="3" s="1"/>
  <c r="I520" i="3" s="1"/>
  <c r="I521" i="3" s="1"/>
  <c r="I522" i="3" s="1"/>
  <c r="I523" i="3" s="1"/>
  <c r="I524" i="3" s="1"/>
  <c r="I525" i="3" s="1"/>
  <c r="I526" i="3" s="1"/>
  <c r="I527" i="3" s="1"/>
  <c r="I528" i="3" s="1"/>
  <c r="I529" i="3" s="1"/>
  <c r="I530" i="3" s="1"/>
  <c r="I531" i="3" s="1"/>
  <c r="I532" i="3" s="1"/>
  <c r="I533" i="3" s="1"/>
  <c r="I534" i="3" s="1"/>
  <c r="I535" i="3" s="1"/>
  <c r="I536" i="3" s="1"/>
  <c r="I537" i="3" s="1"/>
  <c r="I538" i="3" s="1"/>
  <c r="I539" i="3" s="1"/>
  <c r="I540" i="3" s="1"/>
  <c r="I541" i="3" s="1"/>
  <c r="I542" i="3" s="1"/>
  <c r="I543" i="3" s="1"/>
  <c r="I544" i="3" s="1"/>
  <c r="I545" i="3" s="1"/>
  <c r="I546" i="3" s="1"/>
  <c r="I547" i="3" s="1"/>
  <c r="I548" i="3" s="1"/>
  <c r="I549" i="3" s="1"/>
  <c r="I550" i="3" s="1"/>
  <c r="I551" i="3" s="1"/>
  <c r="I552" i="3" s="1"/>
  <c r="I553" i="3" s="1"/>
  <c r="I554" i="3" s="1"/>
  <c r="I555" i="3" s="1"/>
  <c r="I556" i="3" s="1"/>
  <c r="I557" i="3" s="1"/>
  <c r="I558" i="3" s="1"/>
  <c r="I559" i="3" s="1"/>
  <c r="I560" i="3" s="1"/>
  <c r="I561" i="3" s="1"/>
  <c r="I562" i="3" s="1"/>
  <c r="I563" i="3" s="1"/>
  <c r="I564" i="3" s="1"/>
  <c r="I565" i="3" s="1"/>
  <c r="I566" i="3" s="1"/>
  <c r="I567" i="3" s="1"/>
  <c r="I568" i="3" s="1"/>
  <c r="I569" i="3" s="1"/>
  <c r="I570" i="3" s="1"/>
  <c r="I571" i="3" s="1"/>
  <c r="I572" i="3" s="1"/>
  <c r="I573" i="3" s="1"/>
  <c r="I574" i="3" s="1"/>
  <c r="I575" i="3" s="1"/>
  <c r="I576" i="3" s="1"/>
  <c r="I577" i="3" s="1"/>
  <c r="I578" i="3" s="1"/>
  <c r="I579" i="3" s="1"/>
  <c r="I580" i="3" s="1"/>
  <c r="I581" i="3" s="1"/>
  <c r="I582" i="3" s="1"/>
  <c r="I583" i="3" s="1"/>
  <c r="I584" i="3" s="1"/>
  <c r="I585" i="3" s="1"/>
  <c r="I586" i="3" s="1"/>
  <c r="I587" i="3" s="1"/>
  <c r="I589" i="3" s="1"/>
  <c r="I590" i="3" s="1"/>
  <c r="I591" i="3" s="1"/>
  <c r="I592" i="3" s="1"/>
  <c r="I593" i="3" s="1"/>
  <c r="I594" i="3" s="1"/>
  <c r="I595" i="3" s="1"/>
  <c r="I596" i="3" s="1"/>
  <c r="I597" i="3" s="1"/>
  <c r="I598" i="3" s="1"/>
  <c r="I599" i="3" s="1"/>
  <c r="I600" i="3" s="1"/>
  <c r="I601" i="3" s="1"/>
  <c r="I602" i="3" s="1"/>
  <c r="I603" i="3" s="1"/>
  <c r="I604" i="3" s="1"/>
  <c r="I605" i="3" s="1"/>
  <c r="I606" i="3" s="1"/>
  <c r="I607" i="3" s="1"/>
  <c r="I608" i="3" s="1"/>
  <c r="I609" i="3" s="1"/>
  <c r="I610" i="3" s="1"/>
  <c r="I611" i="3" s="1"/>
  <c r="K483" i="3"/>
  <c r="K488" i="3"/>
  <c r="J23" i="11"/>
  <c r="I37" i="20" s="1"/>
  <c r="K531" i="3"/>
  <c r="J32" i="11"/>
  <c r="I45" i="20" s="1"/>
  <c r="J35" i="11"/>
  <c r="K601" i="3"/>
  <c r="F40" i="13"/>
  <c r="F39" i="14"/>
  <c r="J21" i="13"/>
  <c r="J22" i="15" s="1"/>
  <c r="K22" i="15" s="1"/>
  <c r="J55" i="13"/>
  <c r="E21" i="11"/>
  <c r="I23" i="20" s="1"/>
  <c r="K509" i="3"/>
  <c r="J36" i="11"/>
  <c r="K541" i="3"/>
  <c r="F677" i="3"/>
  <c r="I35" i="12"/>
  <c r="F25" i="13"/>
  <c r="J25" i="14"/>
  <c r="G17" i="17"/>
  <c r="G14" i="17" s="1"/>
  <c r="G23" i="17"/>
  <c r="H32" i="16"/>
  <c r="I32" i="16" s="1"/>
  <c r="G25" i="16"/>
  <c r="H23" i="16"/>
  <c r="I23" i="16" s="1"/>
  <c r="I15" i="18"/>
  <c r="I26" i="18" s="1"/>
  <c r="K18" i="11"/>
  <c r="F27" i="11"/>
  <c r="K41" i="11"/>
  <c r="J43" i="11"/>
  <c r="R48" i="20"/>
  <c r="F24" i="14"/>
  <c r="H26" i="16"/>
  <c r="E18" i="13"/>
  <c r="E19" i="15" s="1"/>
  <c r="F19" i="15" s="1"/>
  <c r="J30" i="13"/>
  <c r="J29" i="15" s="1"/>
  <c r="J34" i="13"/>
  <c r="J33" i="15" s="1"/>
  <c r="K33" i="15" s="1"/>
  <c r="E14" i="11"/>
  <c r="I16" i="20" s="1"/>
  <c r="E15" i="11"/>
  <c r="I17" i="20" s="1"/>
  <c r="E20" i="11"/>
  <c r="I22" i="20" s="1"/>
  <c r="E29" i="11"/>
  <c r="J16" i="11"/>
  <c r="I31" i="20" s="1"/>
  <c r="J30" i="11"/>
  <c r="K542" i="3"/>
  <c r="J39" i="11"/>
  <c r="K611" i="3"/>
  <c r="J50" i="11"/>
  <c r="J49" i="11" s="1"/>
  <c r="J24" i="11"/>
  <c r="I38" i="20" s="1"/>
  <c r="H19" i="16"/>
  <c r="I19" i="16" s="1"/>
  <c r="H21" i="16"/>
  <c r="I21" i="16" s="1"/>
  <c r="H33" i="16"/>
  <c r="I33" i="16" s="1"/>
  <c r="J19" i="11"/>
  <c r="I33" i="20" s="1"/>
  <c r="K506" i="3"/>
  <c r="J22" i="11"/>
  <c r="K517" i="3"/>
  <c r="K522" i="3"/>
  <c r="J26" i="11"/>
  <c r="I40" i="20" s="1"/>
  <c r="K533" i="3"/>
  <c r="K539" i="3"/>
  <c r="J44" i="11"/>
  <c r="F23" i="11"/>
  <c r="J47" i="11"/>
  <c r="K497" i="3"/>
  <c r="K529" i="3"/>
  <c r="K535" i="3"/>
  <c r="K545" i="3"/>
  <c r="J21" i="11"/>
  <c r="I35" i="20" s="1"/>
  <c r="K43" i="13"/>
  <c r="E39" i="14"/>
  <c r="D14" i="12"/>
  <c r="E28" i="12"/>
  <c r="I42" i="12"/>
  <c r="H18" i="16"/>
  <c r="I18" i="16" s="1"/>
  <c r="H20" i="16"/>
  <c r="J56" i="14"/>
  <c r="J24" i="13"/>
  <c r="J25" i="15" s="1"/>
  <c r="K25" i="15" s="1"/>
  <c r="J33" i="13"/>
  <c r="J32" i="15" s="1"/>
  <c r="K32" i="15" s="1"/>
  <c r="J54" i="13"/>
  <c r="E16" i="11"/>
  <c r="I18" i="20" s="1"/>
  <c r="D28" i="12"/>
  <c r="J35" i="12"/>
  <c r="K25" i="14"/>
  <c r="K38" i="14" s="1"/>
  <c r="J47" i="15"/>
  <c r="K47" i="15" s="1"/>
  <c r="E17" i="13"/>
  <c r="F15" i="42" s="1"/>
  <c r="E31" i="13"/>
  <c r="E29" i="15" s="1"/>
  <c r="F29" i="15" s="1"/>
  <c r="E32" i="13"/>
  <c r="E30" i="15" s="1"/>
  <c r="E37" i="13"/>
  <c r="E35" i="15" s="1"/>
  <c r="F35" i="15" s="1"/>
  <c r="E38" i="13"/>
  <c r="E36" i="15" s="1"/>
  <c r="F36" i="15" s="1"/>
  <c r="J31" i="13"/>
  <c r="J30" i="15" s="1"/>
  <c r="K30" i="15" s="1"/>
  <c r="J53" i="13"/>
  <c r="E25" i="11"/>
  <c r="I25" i="20" s="1"/>
  <c r="J15" i="20"/>
  <c r="J49" i="20" s="1"/>
  <c r="F13" i="11"/>
  <c r="H27" i="16"/>
  <c r="E13" i="19"/>
  <c r="K13" i="11"/>
  <c r="K29" i="11"/>
  <c r="G16" i="16"/>
  <c r="E19" i="13"/>
  <c r="E20" i="15" s="1"/>
  <c r="F20" i="15" s="1"/>
  <c r="E20" i="13"/>
  <c r="E21" i="15" s="1"/>
  <c r="F21" i="15" s="1"/>
  <c r="E21" i="13"/>
  <c r="E22" i="15" s="1"/>
  <c r="F22" i="15" s="1"/>
  <c r="E22" i="13"/>
  <c r="E23" i="15" s="1"/>
  <c r="F23" i="15" s="1"/>
  <c r="E30" i="13"/>
  <c r="E33" i="13"/>
  <c r="E31" i="15" s="1"/>
  <c r="E34" i="13"/>
  <c r="E32" i="15" s="1"/>
  <c r="F32" i="15" s="1"/>
  <c r="E35" i="13"/>
  <c r="E33" i="15" s="1"/>
  <c r="F33" i="15" s="1"/>
  <c r="E36" i="13"/>
  <c r="E34" i="15" s="1"/>
  <c r="F34" i="15" s="1"/>
  <c r="J17" i="13"/>
  <c r="J18" i="13"/>
  <c r="J19" i="15" s="1"/>
  <c r="K19" i="15" s="1"/>
  <c r="J22" i="13"/>
  <c r="J23" i="15" s="1"/>
  <c r="K23" i="15" s="1"/>
  <c r="J23" i="13"/>
  <c r="J24" i="15" s="1"/>
  <c r="K24" i="15" s="1"/>
  <c r="J32" i="13"/>
  <c r="J35" i="13"/>
  <c r="J47" i="13"/>
  <c r="E34" i="19" s="1"/>
  <c r="E17" i="11"/>
  <c r="I19" i="20" s="1"/>
  <c r="E18" i="11"/>
  <c r="I20" i="20" s="1"/>
  <c r="E19" i="11"/>
  <c r="I21" i="20" s="1"/>
  <c r="E32" i="11"/>
  <c r="H29" i="16"/>
  <c r="H34" i="16"/>
  <c r="F25" i="16"/>
  <c r="H673" i="3"/>
  <c r="I23" i="42" s="1"/>
  <c r="I24" i="42" s="1"/>
  <c r="H30" i="16"/>
  <c r="F16" i="16"/>
  <c r="F13" i="33" l="1"/>
  <c r="G18" i="33"/>
  <c r="G17" i="33" s="1"/>
  <c r="E17" i="33"/>
  <c r="E11" i="33" s="1"/>
  <c r="J41" i="15"/>
  <c r="K41" i="15" s="1"/>
  <c r="E33" i="19"/>
  <c r="I33" i="19" s="1"/>
  <c r="J49" i="15"/>
  <c r="K49" i="15" s="1"/>
  <c r="I40" i="19"/>
  <c r="J55" i="15"/>
  <c r="K55" i="15" s="1"/>
  <c r="H45" i="19"/>
  <c r="I45" i="19" s="1"/>
  <c r="I44" i="19"/>
  <c r="E29" i="19"/>
  <c r="I13" i="19"/>
  <c r="K37" i="36"/>
  <c r="J34" i="15"/>
  <c r="K34" i="15" s="1"/>
  <c r="F21" i="42"/>
  <c r="K51" i="36"/>
  <c r="F15" i="36"/>
  <c r="F25" i="36"/>
  <c r="G30" i="32"/>
  <c r="E25" i="36"/>
  <c r="J51" i="36"/>
  <c r="K15" i="36"/>
  <c r="J37" i="36"/>
  <c r="J15" i="36"/>
  <c r="C16" i="32"/>
  <c r="G26" i="32"/>
  <c r="E15" i="36"/>
  <c r="G16" i="32"/>
  <c r="C32" i="32"/>
  <c r="J57" i="13"/>
  <c r="K52" i="11"/>
  <c r="C38" i="32"/>
  <c r="C45" i="32"/>
  <c r="J54" i="15"/>
  <c r="K54" i="15" s="1"/>
  <c r="C24" i="32"/>
  <c r="G84" i="32"/>
  <c r="C81" i="32"/>
  <c r="G78" i="32"/>
  <c r="G98" i="32"/>
  <c r="E41" i="14"/>
  <c r="K28" i="36"/>
  <c r="K26" i="36" s="1"/>
  <c r="J26" i="36"/>
  <c r="J38" i="14"/>
  <c r="J50" i="15"/>
  <c r="K50" i="15" s="1"/>
  <c r="E35" i="12"/>
  <c r="G19" i="17"/>
  <c r="G25" i="17" s="1"/>
  <c r="F20" i="42" s="1"/>
  <c r="J53" i="12"/>
  <c r="D35" i="12"/>
  <c r="F42" i="13"/>
  <c r="J20" i="15"/>
  <c r="K20" i="15" s="1"/>
  <c r="I44" i="18"/>
  <c r="J17" i="18"/>
  <c r="J15" i="18" s="1"/>
  <c r="J26" i="18" s="1"/>
  <c r="F41" i="14"/>
  <c r="E27" i="11"/>
  <c r="M23" i="16"/>
  <c r="M28" i="16"/>
  <c r="I53" i="12"/>
  <c r="G14" i="16"/>
  <c r="J34" i="11"/>
  <c r="M18" i="16"/>
  <c r="E25" i="16"/>
  <c r="H25" i="16" s="1"/>
  <c r="I25" i="16" s="1"/>
  <c r="M20" i="16"/>
  <c r="M21" i="16"/>
  <c r="R44" i="20"/>
  <c r="J18" i="11"/>
  <c r="F14" i="16"/>
  <c r="K39" i="13"/>
  <c r="I43" i="20"/>
  <c r="J29" i="11"/>
  <c r="I36" i="20"/>
  <c r="I20" i="16"/>
  <c r="F34" i="11"/>
  <c r="J41" i="11"/>
  <c r="M33" i="16"/>
  <c r="J13" i="11"/>
  <c r="M29" i="16"/>
  <c r="I29" i="16"/>
  <c r="J40" i="15"/>
  <c r="J43" i="13"/>
  <c r="J18" i="15"/>
  <c r="J26" i="13"/>
  <c r="F31" i="15"/>
  <c r="M22" i="16"/>
  <c r="H17" i="16"/>
  <c r="E16" i="16"/>
  <c r="M19" i="16"/>
  <c r="J48" i="15"/>
  <c r="K48" i="15" s="1"/>
  <c r="F30" i="15"/>
  <c r="E13" i="11"/>
  <c r="E28" i="15"/>
  <c r="E40" i="13"/>
  <c r="M32" i="16"/>
  <c r="I30" i="16"/>
  <c r="M30" i="16"/>
  <c r="J31" i="15"/>
  <c r="K31" i="15" s="1"/>
  <c r="J30" i="18"/>
  <c r="J29" i="18" s="1"/>
  <c r="J40" i="18" s="1"/>
  <c r="M31" i="16"/>
  <c r="K29" i="15"/>
  <c r="I26" i="16"/>
  <c r="M26" i="16"/>
  <c r="I34" i="16"/>
  <c r="M34" i="16"/>
  <c r="E23" i="11"/>
  <c r="I24" i="20"/>
  <c r="J42" i="15"/>
  <c r="K42" i="15" s="1"/>
  <c r="I34" i="19"/>
  <c r="M27" i="16"/>
  <c r="I27" i="16"/>
  <c r="E18" i="15"/>
  <c r="E25" i="13"/>
  <c r="J37" i="13"/>
  <c r="G13" i="33" l="1"/>
  <c r="G12" i="33" s="1"/>
  <c r="G11" i="33" s="1"/>
  <c r="F12" i="33"/>
  <c r="F11" i="33" s="1"/>
  <c r="F24" i="33" s="1"/>
  <c r="K13" i="36"/>
  <c r="I43" i="19"/>
  <c r="H43" i="19"/>
  <c r="H47" i="19" s="1"/>
  <c r="K52" i="15"/>
  <c r="I29" i="19"/>
  <c r="F13" i="36"/>
  <c r="F22" i="42"/>
  <c r="I28" i="20"/>
  <c r="E13" i="36"/>
  <c r="J52" i="15"/>
  <c r="K54" i="11"/>
  <c r="J13" i="36"/>
  <c r="G67" i="32"/>
  <c r="G80" i="32" s="1"/>
  <c r="E14" i="16"/>
  <c r="I39" i="19"/>
  <c r="C67" i="32"/>
  <c r="C83" i="32" s="1"/>
  <c r="I18" i="42" s="1"/>
  <c r="J55" i="12"/>
  <c r="K50" i="14" s="1"/>
  <c r="K48" i="14" s="1"/>
  <c r="K61" i="14" s="1"/>
  <c r="K63" i="14" s="1"/>
  <c r="C45" i="14" s="1"/>
  <c r="I55" i="12"/>
  <c r="J50" i="14" s="1"/>
  <c r="I15" i="20"/>
  <c r="R49" i="20"/>
  <c r="V48" i="20" s="1"/>
  <c r="K27" i="15"/>
  <c r="J27" i="15"/>
  <c r="M25" i="16"/>
  <c r="E42" i="13"/>
  <c r="J52" i="11"/>
  <c r="F18" i="15"/>
  <c r="F16" i="15" s="1"/>
  <c r="E16" i="15"/>
  <c r="E26" i="15"/>
  <c r="F28" i="15"/>
  <c r="F26" i="15" s="1"/>
  <c r="J42" i="18"/>
  <c r="J44" i="18" s="1"/>
  <c r="I10" i="42" s="1"/>
  <c r="J39" i="13"/>
  <c r="J38" i="15"/>
  <c r="K40" i="15"/>
  <c r="K38" i="15" s="1"/>
  <c r="H16" i="16"/>
  <c r="J16" i="15"/>
  <c r="K18" i="15"/>
  <c r="K16" i="15" s="1"/>
  <c r="E34" i="11"/>
  <c r="I17" i="16"/>
  <c r="M17" i="16"/>
  <c r="I32" i="19"/>
  <c r="E31" i="19"/>
  <c r="I31" i="19" s="1"/>
  <c r="I11" i="42" l="1"/>
  <c r="E24" i="33"/>
  <c r="E47" i="19"/>
  <c r="I16" i="42"/>
  <c r="I6" i="42"/>
  <c r="J48" i="14"/>
  <c r="J61" i="14" s="1"/>
  <c r="J63" i="14" s="1"/>
  <c r="C46" i="14" s="1"/>
  <c r="J45" i="36"/>
  <c r="K51" i="13"/>
  <c r="K49" i="13" s="1"/>
  <c r="K62" i="13" s="1"/>
  <c r="K64" i="13" s="1"/>
  <c r="C46" i="13" s="1"/>
  <c r="H90" i="32"/>
  <c r="H103" i="32" s="1"/>
  <c r="H105" i="32" s="1"/>
  <c r="I49" i="20"/>
  <c r="K14" i="15"/>
  <c r="J14" i="15"/>
  <c r="N43" i="18"/>
  <c r="J54" i="11"/>
  <c r="F5" i="42" s="1"/>
  <c r="F14" i="15"/>
  <c r="M16" i="16"/>
  <c r="H14" i="16"/>
  <c r="M14" i="16" s="1"/>
  <c r="I16" i="16"/>
  <c r="I14" i="16" s="1"/>
  <c r="Q20" i="20"/>
  <c r="Q15" i="20"/>
  <c r="E14" i="15"/>
  <c r="G22" i="33" l="1"/>
  <c r="G24" i="33" s="1"/>
  <c r="I12" i="42" s="1"/>
  <c r="I13" i="42" s="1"/>
  <c r="D24" i="33"/>
  <c r="I5" i="42"/>
  <c r="I7" i="42" s="1"/>
  <c r="I38" i="19"/>
  <c r="K45" i="36"/>
  <c r="K43" i="36" s="1"/>
  <c r="K35" i="36" s="1"/>
  <c r="J43" i="36"/>
  <c r="J35" i="36" s="1"/>
  <c r="J51" i="13"/>
  <c r="G92" i="32"/>
  <c r="G90" i="32" s="1"/>
  <c r="G103" i="32" s="1"/>
  <c r="G105" i="32" s="1"/>
  <c r="I19" i="42" s="1"/>
  <c r="Q24" i="20"/>
  <c r="J49" i="13" l="1"/>
  <c r="J62" i="13" s="1"/>
  <c r="F6" i="42"/>
  <c r="F7" i="42" s="1"/>
  <c r="I19" i="19"/>
  <c r="I18" i="19" s="1"/>
  <c r="J46" i="15"/>
  <c r="G37" i="19"/>
  <c r="G36" i="19" s="1"/>
  <c r="G47" i="19" s="1"/>
  <c r="Q29" i="20"/>
  <c r="Q35" i="20"/>
  <c r="I37" i="19" l="1"/>
  <c r="I36" i="19" s="1"/>
  <c r="I47" i="19" s="1"/>
  <c r="J64" i="13"/>
  <c r="F10" i="42"/>
  <c r="K46" i="15"/>
  <c r="K44" i="15" s="1"/>
  <c r="K36" i="15" s="1"/>
  <c r="J44" i="15"/>
  <c r="J36" i="15" s="1"/>
  <c r="Q41" i="20"/>
  <c r="C47" i="13" l="1"/>
  <c r="I17" i="42"/>
  <c r="I20" i="42" s="1"/>
  <c r="Q44" i="20"/>
  <c r="Q49" i="20" s="1"/>
  <c r="F16" i="42" s="1"/>
  <c r="F17" i="42" s="1"/>
  <c r="F11" i="42"/>
  <c r="F12" i="42" s="1"/>
  <c r="V49" i="20" l="1"/>
</calcChain>
</file>

<file path=xl/sharedStrings.xml><?xml version="1.0" encoding="utf-8"?>
<sst xmlns="http://schemas.openxmlformats.org/spreadsheetml/2006/main" count="1512" uniqueCount="1090">
  <si>
    <t>RENDICIÓN DE LA CUENTA PÚBLICA</t>
  </si>
  <si>
    <t>ESTADO DE QUERÉTARO</t>
  </si>
  <si>
    <t>Ejercicio 2016</t>
  </si>
  <si>
    <t>DATOS GENERALES DEL ENTE</t>
  </si>
  <si>
    <t>BALANZA DE COMPROBACIÓN</t>
  </si>
  <si>
    <t>Del 1 de enero al 31 de diciembre de 2016 y 2015</t>
  </si>
  <si>
    <t>Ente:</t>
  </si>
  <si>
    <t>CAJA</t>
  </si>
  <si>
    <t>FONDOS FIJOS DE CAJA</t>
  </si>
  <si>
    <t>BANCOS MONEDA NACIONAL</t>
  </si>
  <si>
    <t>BANCOS MONEDA EXTRANJERA</t>
  </si>
  <si>
    <t>INVERSIONES EN MONEDA NACIONAL CP</t>
  </si>
  <si>
    <t>INVERSIONES EN MONEDA EXTRANJERA CP</t>
  </si>
  <si>
    <t>FONDO DESTINADO A OPERACIONES NO RECURRENTES</t>
  </si>
  <si>
    <t>DEPÓSITOS EN GARANTÍA</t>
  </si>
  <si>
    <t>DEPÓSITOS EN ADMINISTRACIÓN</t>
  </si>
  <si>
    <t>DEPÓSITOS CONTINGENTES</t>
  </si>
  <si>
    <t>DEPÓSITO EN FONDOS DE FIDEICOMISOS, MANDATOS Y CONTRATOS</t>
  </si>
  <si>
    <t>OTROS DEPÓSITOS DE FONDOS DE TERCEROS EN GARANTÍA  Y/O ADMINISTRACIÓN</t>
  </si>
  <si>
    <t>OTROS EFECTIVOS Y EQUIVALENTES</t>
  </si>
  <si>
    <t>INVERSIONES A CORTO PLAZO</t>
  </si>
  <si>
    <t>TÍTULOS Y VALORES A CORTO PLAZO</t>
  </si>
  <si>
    <t>FIDEICOMISOS, MANDATOS Y CONTRATOS ANÁLOGOS A CORTO PLAZO</t>
  </si>
  <si>
    <t>CUENTAS POR COBRAR POR VENTA DE BIENES Y PRESTACIÓN DE SERVICIOS</t>
  </si>
  <si>
    <t>CUENTAS POR COBRAR POR VENTA DE BIENES INMUEBLES, MUEBLES E INTANGIBLES</t>
  </si>
  <si>
    <t>CUENTAS POR COBRAR POR CONTRATOS DE COBERTURA CAMBIARIA</t>
  </si>
  <si>
    <t>CUENTAS POR COBRAR DE ENTIDADES PARAESTATALES POR DEUDA PÚBLICA REESTRUCTURADA</t>
  </si>
  <si>
    <t>CUENTAS POR COBRAR A LA FEDERACIÓN</t>
  </si>
  <si>
    <t>CUENTAS POR COBRAR A ENTIDADES FEDERATIVAS Y MUNICIPIOS</t>
  </si>
  <si>
    <t>CUENTAS POR COBRAR POR RECURSOS MONETARIOS FEDERALES SUSTRAÍDOS O EXTRAVIADOS</t>
  </si>
  <si>
    <t>CUENTAS POR COBRAR DERIVADAS DE LA REESTRUCTURACIÓN DE LA DEUDA PÚBLICA</t>
  </si>
  <si>
    <t>OTRAS CUENTAS POR COBRAR</t>
  </si>
  <si>
    <t>DEUDORES DIVERSOS POR COBRAR A CORTO PLAZO</t>
  </si>
  <si>
    <t>CONTRIBUCIONES POR COBRAR</t>
  </si>
  <si>
    <t>CONTRIBUCIONES DE MEJORAS POR COBRAR</t>
  </si>
  <si>
    <t>DERECHOS POR COBRAR</t>
  </si>
  <si>
    <t>PRODUCTOS POR COBRAR</t>
  </si>
  <si>
    <t>APROVECHAMIENTOS POR COBRAR</t>
  </si>
  <si>
    <t>DEUDORES FISCALES POR COBRAR EN PARCIALIDADES</t>
  </si>
  <si>
    <t>DEUDORES  POR COBRAR CON RESOLUCIÓN JUDICIAL FISCAL DEFINITIVA</t>
  </si>
  <si>
    <t>DEUDORES MOROSOS POR COBRAR POR INCUMPLIMIENTOS FISCALES</t>
  </si>
  <si>
    <t>OTRAS CONTRIBUCIONES POR COBRAR</t>
  </si>
  <si>
    <t>DEUDORES POR FONDOS ROTATORIOS</t>
  </si>
  <si>
    <t>DEUDORES POR MINISTRACIÓN DE FONDOS</t>
  </si>
  <si>
    <t>ANTICIPOS DE PARTICIPACIONES FEDERALES</t>
  </si>
  <si>
    <t>ANTICIPOS DE PARTICIPACIONES ESTATALES</t>
  </si>
  <si>
    <t>PRÉSTAMOS OTORGADOS A CORTO PLAZO AL SECTOR PÚBLICO</t>
  </si>
  <si>
    <t>PRÉSTAMOS OTORGADOS A CORTO PLAZO AL SECTOR PRIVADO</t>
  </si>
  <si>
    <t>PRÉSTAMOS OTORGADOS A CORTO PLAZO AL SECTOR EXTERNO</t>
  </si>
  <si>
    <t>OTROS DERECHOS A RECIBIR EFECTIVO O EQUIVALENTES A CORTO PLAZO</t>
  </si>
  <si>
    <t>ANTICIPO A PROVEEDORES POR ADQUISICIÓN DE BIENES A CORTO PLAZO</t>
  </si>
  <si>
    <t>ANTICIPO A PROVEEDORES POR PRESTACIÓN DE SERVICIOS A CORTO PLAZO</t>
  </si>
  <si>
    <t>ANTICIPO A PROVEEDORES POR ADQUISICIÓN DE BIENES INMUEBLES A CORTO PLAZO</t>
  </si>
  <si>
    <t>ANTICIPO A PROVEEDORES POR ADQUISICIÓN DE BIENES MUEBLES A CORTO PLAZO</t>
  </si>
  <si>
    <t>ANTICIPO A PROVEEDORES POR ADQUISICIÓN DE BIENES INTANGIBLES A CORTO PLAZO</t>
  </si>
  <si>
    <t>ANTICIPO A CONTRATISTAS POR OBRAS PÚBLICAS EN BIENES DE DOMINIO PÚBLICO A CORTO PLAZO</t>
  </si>
  <si>
    <t>ANTICIPO A CONTRATISTAS POR OBRAS PÚBLICAS EN BIENES PROPIOS A CORTO PLAZO</t>
  </si>
  <si>
    <t>OTROS DERECHOS A RECIBIR BIENES O SERVICIOS A CORTO PLAZO</t>
  </si>
  <si>
    <t>INVENTARIO DE MERCANCÍAS PARA VENTA</t>
  </si>
  <si>
    <t>PRODUCTOS ALIMENTICIOS, AGROPECUARIOS Y FORESTALES TERMINADOS</t>
  </si>
  <si>
    <t>PRODUCTOS TEXTILES TERMINADOS</t>
  </si>
  <si>
    <t>PRODUCTOS DE PAPEL, CARTÓN E IMPRESOS TERMINADOS</t>
  </si>
  <si>
    <t>PRODUCTOS COMBUSTIBLES, LUBRICANTES Y ADITIVOS TERMINADOS</t>
  </si>
  <si>
    <t>PRODUCTOS QUÍMICOS, FARMACÉUTICOS Y DE LABORATORIO TERMINADOS</t>
  </si>
  <si>
    <t>PRODUCTOS METÁLICOS Y A BASE DE MINERALES NO METÁLICOS TERMINADOS</t>
  </si>
  <si>
    <t>PRODUCTOS DE CUERO, PIEL, PLÁSTICO Y HULE TERMINADOS</t>
  </si>
  <si>
    <t>OTROS PRODUCTOS Y MERCANCÍAS TERMINADAS</t>
  </si>
  <si>
    <t>PRODUCTOS ALIMENTICIOS, AGROPECUARIOS Y FORESTAL EN PROCESO DE ELABORACIÓN</t>
  </si>
  <si>
    <t>PRODUCTOS TEXTILES EN PROCESO DE ELABORACIÓN</t>
  </si>
  <si>
    <t>PRODUCTOS DE PAPEL, CARTÓN E IMPRESOS EN PROCESO DE ELABORACIÓN</t>
  </si>
  <si>
    <t>PRODUCTOS COMBUSTIBLES, LUBRICANTES Y ADITIVOS EN PROCESO DE ELABORACIÓN</t>
  </si>
  <si>
    <t>PRODUCTOS QUÍMICOS, FARMACÉUTICOS Y DE LABORATORIO EN PROCESO DE ELABORACIÓN</t>
  </si>
  <si>
    <t>PRODUCTOS METÁLICOS Y A BASE DE MINERALES NO METÁLICOS EN PROCESO DE ELABORACIÓN</t>
  </si>
  <si>
    <t>PRODUCTOS DE CUERO, PIEL, PLÁSTICO Y HULE ADQUIRIDOS EN PROCESO DE ELABORACIÓN</t>
  </si>
  <si>
    <t>OTROS PRODUCTOS Y MERCANCÍAS EN PROCESO DE ELABORACIÓN</t>
  </si>
  <si>
    <t>PRODUCTOS ALIMENTICIOS, AGROPECUARIOS Y FORESTALES ADQUIRIDOS COMO MATERIA PRIMA</t>
  </si>
  <si>
    <t>PRODUCTOS TEXTILES ADQUIRIDOS COMO MATERIA PRIMA</t>
  </si>
  <si>
    <t>PRODUCTOS DE PAPEL, CARTÓN E IMPRESOS ADQUIRIDOS COMO MATERIA PRIMA</t>
  </si>
  <si>
    <t>PRODUCTOS COMBUSTIBLES, LUBRICANTES Y ADITIVOS ADQUIRIDOS, CARBON Y SUS DERIVADOS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</si>
  <si>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</si>
  <si>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</si>
  <si>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</si>
  <si>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OTROS PRODUCTOS Y MERCANCÍAS ADQUIRIDAS COMO MATERIA PRIMA</t>
  </si>
  <si>
    <t>MERCANCÍAS PARA VENTA EN TRÁNSITO</t>
  </si>
  <si>
    <t>MATERIAS PRIMAS, MATERIALES Y SUMINISTROS PARA PRODUCCIÓN EN TRÁNSITO</t>
  </si>
  <si>
    <t>MATERIALES Y SUMINISTROS DE CONSUMO EN TRÁNSITO</t>
  </si>
  <si>
    <t>BIENES MUEBLES EN TRÁNSITO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</si>
  <si>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</si>
  <si>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</si>
  <si>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</si>
  <si>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</si>
  <si>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</si>
  <si>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</si>
  <si>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</si>
  <si>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 PARA CONSUMO</t>
  </si>
  <si>
    <t>ESTIMACIÓN PARA CUENTAS INCOBRABLES POR COBRAR A CORTO PLAZO</t>
  </si>
  <si>
    <t>ESTIMACIÓN PARA CUENTAS INCOBRABLES POR DEUDORES DIVERSOS A CORTO PLAZO</t>
  </si>
  <si>
    <t>ESTIMACIÓN PARA CUENTAS INCOBRABLES POR INGRESOS POR RECUPERAR A CORTO PLAZO</t>
  </si>
  <si>
    <t>ESTIMACIÓN PARA CUENTAS INCOBRABLES POR PRÉSTAMOS OTORGADOS A CORTO PLAZO</t>
  </si>
  <si>
    <t>OTRAS ESTIMACIONES PARA CUENTAS INCOBRABLES POR DERECHOS A RECIBIR EFECTIVO O EQUIVALENTES A CORTO PLAZO</t>
  </si>
  <si>
    <t>ESTIMACIÓN POR DETERIORO U OBSOLESCENCIA DE MERCANCÍAS PARA VENTA</t>
  </si>
  <si>
    <t>ESTIMACIÓN POR DETERIORO DE MERCANCÍAS TERMINADAS</t>
  </si>
  <si>
    <t>ESTIMACIÓN POR DETERIORO DE MERCANCÍAS EN PROCESO DE ELABORACIÓN</t>
  </si>
  <si>
    <t>ESTIMACIÓN POR DETERIORO DE MATERIAS PRIMAS, MATERIALES Y SUMINISTROS PARA PRODUCCIÓN</t>
  </si>
  <si>
    <t>ESTIMACIÓN POR DETERIORO DE ALMACÉN DE MATERIALES Y SUMINISTRO DE CONSUMO</t>
  </si>
  <si>
    <t>VALORES EN GARANTÍA</t>
  </si>
  <si>
    <t>BIENES EN GARANTÍA</t>
  </si>
  <si>
    <t>BIENES DERIVADOS DE EMBARGOS</t>
  </si>
  <si>
    <t>BIENES DERIVADOS DE DECOMISOS</t>
  </si>
  <si>
    <t>BIENES DERIVADOS DE ASEGURAMIENTOS</t>
  </si>
  <si>
    <t>BIENES DERIVADOS DE DACIÓN EN PAGO</t>
  </si>
  <si>
    <t>DEPÓSITOS A LARGO PLAZO EN MONEDA NACIONAL</t>
  </si>
  <si>
    <t>DEPÓSITOS A LARGO PLAZO EN MONEDA EXTRANJERA</t>
  </si>
  <si>
    <t>BONOS A LARGO PLAZO</t>
  </si>
  <si>
    <t>VALORES REPRESENTATIVOS DE DEUDA A LARGO PLAZO</t>
  </si>
  <si>
    <t>OBLIGACIONES NEGOCIABLES A LARGO PLAZO</t>
  </si>
  <si>
    <t>OTROS VALORES A LARGO PLAZO</t>
  </si>
  <si>
    <t>FIDEICOMISOS, MANDATOS Y CONTRATOS ANÁLOGOS DEL PODER EJECUTIVO</t>
  </si>
  <si>
    <t>FIDEICOMISOS, MANDATOS Y CONTRATOS ANÁLOGOS DEL PODER LEGISLATIVO</t>
  </si>
  <si>
    <t>FIDEICOMISOS, MANDATOS Y CONTRATOS ANÁLOGOS DEL PODER JUDICIAL</t>
  </si>
  <si>
    <t>FIDEICOMISOS, MANDATOS Y CONTRATOS ANÁLOGOS PÚBLICOS NO EMPRESARIALES Y NO FINANCIEROS</t>
  </si>
  <si>
    <t>FIDEICOMISOS, MANDATOS Y CONTRATOS ANÁLOGOS PÚBLICOS EMPRESARIALES Y NO FINANCIEROS</t>
  </si>
  <si>
    <t>FIDEICOMISOS, MANDATOS Y CONTRATOS ANÁLOGOS PÚBLICOS FINANCIEROS</t>
  </si>
  <si>
    <t>FIDEICOMISOS, MANDATOS Y CONTRATOS ANÁLOGOS DE ENTIDADES FEDERATIVAS</t>
  </si>
  <si>
    <t>FIDEICOMISOS, MANDATOS Y CONTRATOS ANÁLOGOS DE MUNICIPIOS</t>
  </si>
  <si>
    <t>FIDEICOMISOS, MANDATOS Y CONTRATOS ANÁLOGOS DE EMPRESAS PRIVADAS Y PARTICULARES</t>
  </si>
  <si>
    <t>PARTICIPACIONES Y APORTACIONES DE CAPITAL A LARGO PLAZO EN EL SECTOR PÚBLICO</t>
  </si>
  <si>
    <t>PARTICIPACIONES Y APORTACIONES DE CAPITAL A LARGO PLAZO EN EL SECTOR PRIVADO</t>
  </si>
  <si>
    <t>PARTICIPACIONES Y APORTACIONES DE CAPITAL A LARGO PLAZO EN EL SECTOR EXTERNO</t>
  </si>
  <si>
    <t>DOCUMENTOS POR COBRAR A LARGO PLAZO POR VENTA DE BIENES Y PRESTACIÓN DE SERVICIOS</t>
  </si>
  <si>
    <t>DOCUMENTOS POR COBRAR A LARGO PLAZO POR VENTA DE BIENES INMUEBLES, MUEBLES E INTANGIBLES</t>
  </si>
  <si>
    <t>OTROS DOCUMENTOS POR COBRAR A LARGO PLAZO</t>
  </si>
  <si>
    <t>DEUDORES DIVERSOS A LARGO PLAZO</t>
  </si>
  <si>
    <t>CONTRIBUCIONES GARANTIZADAS A LARGO PLAZO</t>
  </si>
  <si>
    <t>DEUDORES FISCALES EN PARCIALIDADES A LARGO PLAZO</t>
  </si>
  <si>
    <t>DEUDORES CON RESOLUCIÓN JUDICIAL FISCAL DEFINITIVA A LARGO PLAZO</t>
  </si>
  <si>
    <t>OTRAS CONTRIBUCIONES A LARGO PLAZO</t>
  </si>
  <si>
    <t>PRÉSTAMOS OTORGADOS A LARGO PLAZO AL SECTOR PÚBLICO</t>
  </si>
  <si>
    <t>PRÉSTAMOS OTORGADOS A LARGO PLAZO AL SECTOR PRIVADO</t>
  </si>
  <si>
    <t>PRÉSTAMOS OTORGADOS A LARGO PLAZO AL SECTOR EXTERNO</t>
  </si>
  <si>
    <t>OTROS DERECHOS A RECIBIR EFECTIVO O EQUIVALENTES A LARGO PLAZO</t>
  </si>
  <si>
    <t>TERRENOS</t>
  </si>
  <si>
    <t>VIVIENDAS</t>
  </si>
  <si>
    <t>EDIFICIOS NO RESIDENCIALES</t>
  </si>
  <si>
    <t>INFRAESTRUCTURA DE CARRETERAS</t>
  </si>
  <si>
    <t>INFRAESTRUCTURA FERROVIARIA Y MULTIMODAL</t>
  </si>
  <si>
    <t>INFRAESTRUCTURA PORTUARIA</t>
  </si>
  <si>
    <t>INFRAESTRUCTURA AEROPORTUARIA</t>
  </si>
  <si>
    <t>INFRAESTRUCTURA DE TELECOMUNICACIONES</t>
  </si>
  <si>
    <t>INFRAESTRUCTURA DE AGUA POTABLE, SANEAMIENTO, HIDROAGRÍCOLA Y CONTROL DE INUNDACIONES</t>
  </si>
  <si>
    <t>INFRAESTRUCTURA ELÉCTRICA</t>
  </si>
  <si>
    <t>INFRAESTRUCTURA DE PRODUCCIÓN DE HIDROCARBUROS</t>
  </si>
  <si>
    <t>INFRAESTRUCTURA DE REFINACIÓN, GAS Y PETROQUÍMICA</t>
  </si>
  <si>
    <t>EDIFICACIÓN HABITACIONAL EN PROCESO</t>
  </si>
  <si>
    <t>EDIFICACIÓN NO HABITACIONAL EN PROCESO</t>
  </si>
  <si>
    <t>CONSTRUCCIÓN DE OBRAS PARA EL ABASTECIMIENTO DE AGUA, PETRÓLEO, GAS, ELECTRICIDAD Y TELECOMUNICACIONES EN PROCESO</t>
  </si>
  <si>
    <t>DIVISIÓN DE TERRENOS Y CONSTRUCCIÓN DE OBRAS DE URBANIZACIÓN EN PROCESO</t>
  </si>
  <si>
    <t>CONSTRUCCIÓN DE VÍAS DE COMUNICACIÓN EN PROCESO</t>
  </si>
  <si>
    <t>OTRAS CONSTRUCCIONES DE INGENIERÍA CIVIL U OBRA PESADA EN PROCESO</t>
  </si>
  <si>
    <t>INSTALACIONES Y EQUIPAMIENTO EN CONSTRUCCIONES EN PROCESO</t>
  </si>
  <si>
    <t>TRABAJOS DE ACABADOS EN EDIFICACIONES Y OTROS TRABAJOS ESPECIALIZADOS EN PROCESO</t>
  </si>
  <si>
    <t>OTROS BIENES INMUEBLES</t>
  </si>
  <si>
    <t>MUEBLES DE OFICINA Y ESTANTERÍA</t>
  </si>
  <si>
    <t>MUEBLES, EXCEPTO DE OFICINA Y ESTANTERÍA</t>
  </si>
  <si>
    <t>EQUIPO DE CÓMPUTO Y DE TECNOLOGÍAS DE LA INFORMACIÓN</t>
  </si>
  <si>
    <t>OTROS MOBILIARIOS Y EQUIPOS DE ADMINISTRACIÓN</t>
  </si>
  <si>
    <t>EQUIPOS Y APARATOS AUDIOVISUALES</t>
  </si>
  <si>
    <t>APARATOS DEPORTIVOS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</si>
  <si>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</si>
  <si>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</si>
  <si>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</si>
  <si>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</si>
  <si>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AUTOMÓVILES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</si>
  <si>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</si>
  <si>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</si>
  <si>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</si>
  <si>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</si>
  <si>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</si>
  <si>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</si>
  <si>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</si>
  <si>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</si>
  <si>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</si>
  <si>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</si>
  <si>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</si>
  <si>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</si>
  <si>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</si>
  <si>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</si>
  <si>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BIENES ARTÍSTICOS, CULTURALES Y CIENTÍFICOS</t>
  </si>
  <si>
    <t>OBJETOS DE VALOR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</si>
  <si>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</si>
  <si>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</si>
  <si>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</si>
  <si>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</si>
  <si>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</si>
  <si>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</si>
  <si>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</si>
  <si>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ÁRBOLES Y PLANTAS</t>
  </si>
  <si>
    <t>OTROS ACTIVOS BIOLÓGICOS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</si>
  <si>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</si>
  <si>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</si>
  <si>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</si>
  <si>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</si>
  <si>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</si>
  <si>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</si>
  <si>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</si>
  <si>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</si>
  <si>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</si>
  <si>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DEPRECIACIÓN ACUMULADA DE VIVIENDAS</t>
  </si>
  <si>
    <t>DEPRECIACIÓN ACUMULADA DE EDIFICIOS NO RESIDENCIALES</t>
  </si>
  <si>
    <t>DEPRECIACIÓN ACUMULADA DE OTROS BIENES INMUEBLES</t>
  </si>
  <si>
    <t>DEPRECIACIÓN ACUMULADA DE INFRAESTRUCTURA DE CARRETERAS</t>
  </si>
  <si>
    <t>DEPRECIACIÓN ACUMULADA DE INFRAESTRUCTURA FERROVIARIA Y MULTIMODAL</t>
  </si>
  <si>
    <t>DEPRECIACIÓN ACUMULADA DE INFRAESTRUCTURA PORTUARIA</t>
  </si>
  <si>
    <t>DEPRECIACIÓN ACUMULADA DE INFRAESTRUCTURA AEROPORTUARIA</t>
  </si>
  <si>
    <t>DEPRECIACIÓN ACUMULADA DE INFRAESTRUCTURA DE TELECOMUNICACIONES</t>
  </si>
  <si>
    <t>DEPRECIACIÓN ACUMULADA DE INFRAESTRUCTURA DE AGUA POTABLE, SANEAMIENTO, HIDROAGRÍCOLA Y CONTROL DE INUNDACIONES</t>
  </si>
  <si>
    <t>DEPRECIACIÓN ACUMULADA DE INFRAESTRUCTURA ELÉCTRICA</t>
  </si>
  <si>
    <t>DEPRECIACIÓN ACUMULADA DE INFRAESTRUCTURA DE PRODUCCIÓN DE HIDROCARBUROS</t>
  </si>
  <si>
    <t>DEPRECIACIÓN ACUMULADA DE INFRAESTRUCTURA DE REFINACIÓN, GAS Y PETROQUÍMICA</t>
  </si>
  <si>
    <t>DEPRECIACIÓN ACUMULADA DE MOBILIARIO Y EQUIPO DE ADMINISTRACIÓN</t>
  </si>
  <si>
    <t>DEPRECIACIÓN ACUMULADA DE MOBILIARIO Y EQUIPO EDUCACIONAL Y RECREATIVO</t>
  </si>
  <si>
    <t>DEPRECIACIÓN ACUMULADA DE EQUIPO E INSTRUMENTAL MÉDICO Y DE LABORATORIO</t>
  </si>
  <si>
    <t>DEPRECIACIÓN ACUMULADA DE EQUIPO DE TRANSPORTE</t>
  </si>
  <si>
    <t>DEPRECIACIÓN ACUMULADA DE EQUIPO DE DEFENSA Y SEGURIDAD</t>
  </si>
  <si>
    <t>DEPRECIACIÓN ACUMULADA DE MAQUINARIA, OTRO EQUIPO Y HERRAMIENTAS</t>
  </si>
  <si>
    <t>DETERIORO ACUMULADO DE BOVINOS</t>
  </si>
  <si>
    <t>DETERIORO ACUMULADO DE PORCINOS</t>
  </si>
  <si>
    <t>DETERIORO ACUMULADO DE AVES</t>
  </si>
  <si>
    <t>DETERIORO ACUMULADO DE OVINOS Y CAPRINOS</t>
  </si>
  <si>
    <t>DETERIORO ACUMULADO DE PECES Y ACUICULTURA</t>
  </si>
  <si>
    <t>DETERIORO ACUMULADO DE EQUINOS</t>
  </si>
  <si>
    <t>DETERIORO ACUMULADO DE ESPECIES MENORES Y DE ZOOLÓGICO</t>
  </si>
  <si>
    <t>DETERIORO ACUMULADO DE ÁRBOLES Y PLANTAS</t>
  </si>
  <si>
    <t>DETERIORO ACUMULADO DE OTROS ACTIVOS BIOLÓGICOS</t>
  </si>
  <si>
    <t>AMORTIZACIÓN ACUMULADAS DE SOFTWARE</t>
  </si>
  <si>
    <t>AMORTIZACIÓN ACUMULADAS DE PATENTES, MARCAS Y DERECHOS</t>
  </si>
  <si>
    <t>AMORTIZACIÓN ACUMULADAS DE CONCESIONES Y FRANQUICIAS</t>
  </si>
  <si>
    <t>AMORTIZACIÓN ACUMULADAS DE LICENCIAS</t>
  </si>
  <si>
    <t>AMORTIZACIÓN ACUMULADAS DE OTROS INTANGIBLES</t>
  </si>
  <si>
    <t>ESTUDIOS, FORMULACIÓN Y EVALUACIÓN DE PROYECTOS</t>
  </si>
  <si>
    <t>DERECHOS SOBRE BIENES EN RÉGIMEN DE ARRENDAMIENTO FINANCIERO NACIONAL</t>
  </si>
  <si>
    <t>DERECHOS SOBRE BIENES EN RÉGIMEN DE ARRENDAMIENTO FINANCIERO INTERNACIONAL</t>
  </si>
  <si>
    <t>INTERESES ANTICIPADOS POR ARRENDAMIENTO FINANCIERO A LARGO PLAZO</t>
  </si>
  <si>
    <t>ANTICIPOS A PROVEEDORES POR ADQUISICIÓN DE BIENES Y PRESTACIÓN DE SERVICIOS LARGO PLAZO</t>
  </si>
  <si>
    <t>ANTICIPOS A PROVEEDORES POR ADQUISICIÓN DE BIENES INMUEBLES Y MUEBLES A LARGO PLAZO</t>
  </si>
  <si>
    <t>ANTICIPOS A PROVEEDORES POR ADQUISICIÓN DE BIENES INTANGIBLES A LARGO PLAZO</t>
  </si>
  <si>
    <t>ANTICIPOS A CONTRATISTAS POR OBRAS PÚBLICAS A LARGO PLAZO</t>
  </si>
  <si>
    <t>BENEFICIOS AL RETIRO DE EMPLEADOS PAGADOS POR ADELANTADO</t>
  </si>
  <si>
    <t>OTROS ACTIVOS DIFERIDOS</t>
  </si>
  <si>
    <t>ESTIMACIONES POR PÉRDIDA DE CUENTAS INCOBRABLES DE DOCUMENTOS POR COBRAR A LARGO PLAZO POR VENTA DE BIENES Y PRESTACIÓN DE SERVICIOS</t>
  </si>
  <si>
    <t>ESTIMACIONES POR PÉRDIDA DE CUENTAS INCOBRABLES DE DOCUMENTOS POR COBRAR A LARGO PLAZO POR VENTA DE BIENES INMUEBLES, MUEBLES E INTANGIBLES</t>
  </si>
  <si>
    <t>ESTIMACIONES POR PÉRDIDA DE CUENTAS INCOBRABLES DE OTROS DOCUMENTOS POR COBRAR A LARGO PLAZO</t>
  </si>
  <si>
    <t>ESTIMACIONES POR PÉRDIDA DE CUENTAS INCOBRABLES DE DEUDORES DIVERSOS</t>
  </si>
  <si>
    <t>ESTIMACIONES POR PÉRDIDA DE CUENTAS INCOBRABLES DE CONTRIBUCIONES GARANTIZADAS A LARGO PLAZO</t>
  </si>
  <si>
    <t>ESTIMACIONES POR PÉRDIDA DE CUENTAS INCOBRABLES DE DEUDORES FISCALES EN PARCIALIDADES A LARGO PLAZO</t>
  </si>
  <si>
    <t>ESTIMACIONES POR PÉRDIDA DE CUENTAS INCOBRABLES DE DEUDORES CON RESOLUCIÓN JUDICIAL FISCAL DEFINITIVA A LARGO PLAZO</t>
  </si>
  <si>
    <t>ESTIMACIONES POR PÉRDIDA DE CUENTAS INCOBRABLES DE OTRAS CONTRIBUCIONES A LARGO PLAZO</t>
  </si>
  <si>
    <t>ESTIMACIONES POR PÉRDIDA DE CUENTAS INCOBRABLES DE PRÉSTAMOS OTORGADOS A LARGO PLAZO AL SECTOR PÚBLICO</t>
  </si>
  <si>
    <t>ESTIMACIONES POR PÉRDIDA DE CUENTAS INCOBRABLES DE PRÉSTAMOS OTORGADOS A LARGO PLAZO AL SECTOR PRIVADO</t>
  </si>
  <si>
    <t>ESTIMACIONES POR PÉRDIDA DE CUENTAS INCOBRABLES DE PRÉSTAMOS OTORGADOS A LARGO PLAZO AL SECTOR EXTERNO</t>
  </si>
  <si>
    <t>ESTIMACIONES POR PÉRDIDA DE OTRAS CUENTAS INCOBRABLES A LARGO PLAZO</t>
  </si>
  <si>
    <t>BIENES EN CONCESIÓN</t>
  </si>
  <si>
    <t>BIENES EN ARRENDAMIENTO FINANCIERO</t>
  </si>
  <si>
    <t>BIENES INMUEBLES EN COMODATO</t>
  </si>
  <si>
    <t>BIENES MUEBLES EN COMODATO</t>
  </si>
  <si>
    <t>BIENES INTANGIBLES EN COMODATO</t>
  </si>
  <si>
    <t>REMUNERACIÓN POR PAGAR AL PERSONAL DE CARÁCTER PERMANENTE A CORTO PLAZO</t>
  </si>
  <si>
    <t>REMUNERACIÓN POR PAGAR AL PERSONAL DE CARÁCTER TRANSITORIO A CORTO PLAZO</t>
  </si>
  <si>
    <t>REMUNERACIONES ADICIONALES Y ESPECIALES POR PAGAR A CORTO PLAZO</t>
  </si>
  <si>
    <t>SEGURIDAD SOCIAL Y SEGUROS POR PAGAR A CORTO PLAZO</t>
  </si>
  <si>
    <t>OTRAS PRESTACIONES SOCIALES Y ECONÓMICAS POR PAGAR A CORTO PLAZO</t>
  </si>
  <si>
    <t>ESTÍMULOS A SERVIDORES PÚBLICOS POR PAGAR A CORTO PLAZO</t>
  </si>
  <si>
    <t>DEUDAS POR ADQUISICIÓN DE BIENES Y CONTRATACIÓN DE SERVICIOS POR PAGAR A CORTO PLAZO</t>
  </si>
  <si>
    <t>DEUDAS POR ADQUISICIÓN DE BIENES INMUEBLES, MUEBLES E INTANGIBLES POR PAGAR A CORTO PLAZO</t>
  </si>
  <si>
    <t>OTRAS DEUDAS COMERCIALES POR PAGAR A CORTO PLAZO</t>
  </si>
  <si>
    <t>CONTRATISTAS POR OBRAS PÚBLICAS EN BIENES DE DOMINIO PÚBLICO POR PAGAR A CORTO PLAZO</t>
  </si>
  <si>
    <t>CONTRATISTAS POR OBRAS PÚBLICAS EN BIENES PROPIOS POR PAGAR A CORTO PLAZO</t>
  </si>
  <si>
    <t>PARTICIPACIONES POR PAGAR A CORTO PLAZO</t>
  </si>
  <si>
    <t>APORTACIONES POR PAGAR A CORTO PLAZO</t>
  </si>
  <si>
    <t>CONVENIOS POR PAGAR A CORTO PLAZO</t>
  </si>
  <si>
    <t>TRANSFERENCIAS INTERNAS Y ASIGNACIONES AL SECTOR PÚBLICO</t>
  </si>
  <si>
    <t>TRANSFERENCIAS AL RESTO DEL SECTOR PÚBLICO</t>
  </si>
  <si>
    <t>TRANSFERENCIAS A FIDEICOMISOS, MANDATOS Y CONTRATOS ANÁLOGOS</t>
  </si>
  <si>
    <t>TRANSFERENCIAS AL EXTERIOR</t>
  </si>
  <si>
    <t>SUBSIDIOS Y SUBVENCIONES</t>
  </si>
  <si>
    <t>AYUDAS SOCIALES</t>
  </si>
  <si>
    <t>PENSIONES Y JUBILACIONES</t>
  </si>
  <si>
    <t>INTERESES SOBRE PRÉSTAMOS DE DEUDA PÚBLICA INTERNA POR PAGAR A CORTO PLAZO</t>
  </si>
  <si>
    <t>INTERESES SOBRE PRÉSTAMOS DE DEUDA PÚBLICA EXTERNA POR PAGAR A CORTO PLAZO</t>
  </si>
  <si>
    <t>COMISIONES DE LA DEUDA PÚBLICA INTERNA POR PAGAR A CORTO PLAZO</t>
  </si>
  <si>
    <t>COMISIONES DE LA DEUDA PÚBLICA EXTERNA POR PAGAR A CORTO PLAZO</t>
  </si>
  <si>
    <t>GASTOS DE LA DEUDA PÚBLICA INTERNA POR PAGAR A CORTO PLAZO</t>
  </si>
  <si>
    <t>GASTOS DE LA DEUDA PÚBLICA EXTERNA POR PAGAR A CORTO PLAZO</t>
  </si>
  <si>
    <t>COSTO POR COBERTURA DE LA DEUDA PÚBLICA INTERNA POR PAGAR A CORTO PLAZO</t>
  </si>
  <si>
    <t>COSTO POR COBERTURA DE LA DEUDA PÚBLICA EXTERNA POR PAGAR A CORTO PLAZO</t>
  </si>
  <si>
    <t>APOYOS FINANCIEROS POR PAGAR A CORTO PLAZO</t>
  </si>
  <si>
    <t>RETENCIONES DE IMPUESTOS POR PAGAR A CORTO PLAZO</t>
  </si>
  <si>
    <t>RETENCIONES DEL SISTEMA DE SEGURIDAD SOCIAL POR PAGAR A CORTO PLAZO</t>
  </si>
  <si>
    <t>IMPUESTO Y DERECHOS POR PAGAR A CORTO PLAZO</t>
  </si>
  <si>
    <t>IMPUESTOS Y DERECHOS DE IMPORTACIÓN POR PAGAR A CORTO PLAZO</t>
  </si>
  <si>
    <t>IMPUESTOS SOBRE NÓMINA Y OTROS QUE DERIVEN DE UNA RELACIÓN LABORAL POR PAGAR A CORTO PLAZO</t>
  </si>
  <si>
    <t>OTRAS RETENCIONES Y CONTRIBUCIONES POR PAGAR A CORTO PLAZO</t>
  </si>
  <si>
    <t>DEVOLUCIONES DE LA LEY DE INGRESOS POR PAGAR A CORTO PLAZO</t>
  </si>
  <si>
    <t>FONDOS ROTATORIOS POR COMPROBAR A CORTO PLAZO</t>
  </si>
  <si>
    <t>MINISTRACIONES DE FONDOS POR COMPROBAR A CORTO PLAZO</t>
  </si>
  <si>
    <t>ANTICIPOS  DE PARTICIPACIONES FEDERALES POR PAGAR A CORTO PLAZO</t>
  </si>
  <si>
    <t>ANTICIPOS  DE PARTICIPACIONES ESTATALES POR PAGAR A CORTO PLAZO</t>
  </si>
  <si>
    <t>PRÉSTAMOS RECIBIDOS A CORTO PLAZO</t>
  </si>
  <si>
    <t>PARTICIPACIONES Y APORTACIONES DE CAPITAL POR PAGAR A CORTO PLAZO</t>
  </si>
  <si>
    <t>INTERÉS SOBRE ARRENDAMIENTO FINANCIERO POR PAGAR A CORTO PLAZO</t>
  </si>
  <si>
    <t>OTRAS CUENTAS POR PAGAR A CORTO PLAZO</t>
  </si>
  <si>
    <t>DOCUMENTOS POR ADQUISICIÓN DE BIENES Y CONTRATACIÓN DE SERVICIOS POR PAGAR A CORTO PLAZO</t>
  </si>
  <si>
    <t>DOCUMENTOS POR ADQUISICIÓN DE BIENES INMUEBLES, MUEBLES E INTANGIBLES POR PAGAR A CORTO PLAZO</t>
  </si>
  <si>
    <t>OTROS DOCUMENTOS COMERCIALES POR PAGAR A CORTO PLAZO</t>
  </si>
  <si>
    <t>DOCUMENTOS CON CONTRATISTAS POR OBRAS PÚBLICAS EN BIENES DE DOMINIO PÚBLICO POR PAGAR A CORTO PLAZO</t>
  </si>
  <si>
    <t>DOCUMENTOS CON CONTRATISTAS POR OBRAS PÚBLICAS EN BIENES PROPIOS POR PAGAR A CORTO PLAZO</t>
  </si>
  <si>
    <t>OTROS DOCUMENTOS POR PAGAR A CORTO PLAZO</t>
  </si>
  <si>
    <t>PORCIÓN A CORTO PLAZO DE TÍTULOS Y VALORES DE DEUDA PÚBLICA INTERNA</t>
  </si>
  <si>
    <t>PORCIÓN A CORTO PLAZO DE LOS PRÉSTAMOS DE LA DEUDA PÚBLICA INTERNA</t>
  </si>
  <si>
    <t>PORCIÓN A CORTO PLAZO DE TÍTULOS Y VALORES DE DEUDA PÚBLICA EXTERNA</t>
  </si>
  <si>
    <t>PORCIÓN A CORTO PLAZO DE LOS PRÉSTAMOS DE LA DEUDA PÚBLICA EXTERNA</t>
  </si>
  <si>
    <t>PORCIÓN A CORTO PLAZO DE ARRENDAMIENTO FINANCIERO NACIONAL</t>
  </si>
  <si>
    <t>PORCIÓN A CORTO PLAZO DE ARRENDAMIENTO FINANCIERO INTERNACIONAL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</si>
  <si>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</si>
  <si>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</si>
  <si>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</si>
  <si>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</si>
  <si>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</si>
  <si>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</si>
  <si>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</si>
  <si>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</si>
  <si>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</si>
  <si>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</si>
  <si>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EN GARANTÍA A CORTO PLAZO</t>
  </si>
  <si>
    <t>BIENES EN GARANTÍA (EXCLUYE DEPÓSITOS DE FONDOS)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</si>
  <si>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</si>
  <si>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</si>
  <si>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</si>
  <si>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</si>
  <si>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</si>
  <si>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CONTINGENCIAS SOCIOECONOMICAS</t>
  </si>
  <si>
    <t>DEUDAS POR ADQUISICIÓN DE BIENES Y CONTRATACIÓN DE SERVICIOS POR PAGAR A LARGO PLAZO</t>
  </si>
  <si>
    <t>DEUDAS POR ADQUISICIÓN DE BIENES INMUEBLES, MUEBLES E INTANGIBLES POR PAGAR A LARGO PLAZO</t>
  </si>
  <si>
    <t>OTRAS DEUDAS COMERCIALES POR PAGAR A LARGO PLAZO</t>
  </si>
  <si>
    <t>CONTRATISTAS POR OBRAS PÚBLICAS EN BIENES DE DOMINIO PÚBLICO POR PAGAR A LARGO PLAZO</t>
  </si>
  <si>
    <t>CONTRATISTAS POR OBRAS PÚBLICAS EN BIENES PROPIOS POR PAGAR A LARGO PLAZO</t>
  </si>
  <si>
    <t>DOCUMENTOS POR PAGAR POR ADQUISICIÓN DE BIENES Y CONTRATACIÓN SERVICIOS A LARGO PLAZO</t>
  </si>
  <si>
    <t>DOCUMENTOS POR PAGAR POR ADQUISICIÓN DE BIENES INMUEBLES, MUEBLES E INTANGIBLES A LARGO PLAZO</t>
  </si>
  <si>
    <t>OTROS DOCUMENTOS COMERCIALES POR PAGAR A LARGO PLAZO</t>
  </si>
  <si>
    <t>DOCUMENTOS CON CONTRATISTAS POR OBRAS PÚBLICAS EN BIENES DE DOMINIO PÚBLICO POR PAGAR A LARGO PLAZO</t>
  </si>
  <si>
    <t>DOCUMENTOS CON CONTRATISTAS POR OBRAS PÚBLICAS EN BIENES PROPIOS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</si>
  <si>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</si>
  <si>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</si>
  <si>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</si>
  <si>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</si>
  <si>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</si>
  <si>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NACIONAL  POR PAGAR A LARGO PLAZO</t>
  </si>
  <si>
    <t>ARRENDAMIENTO FINANCIERO INTERNACIONAL POR PAGAR A LARGO PLAZO</t>
  </si>
  <si>
    <t>CRÉDITOS DIFERIDOS A LARGO PLAZO</t>
  </si>
  <si>
    <t>INTERESES COBRADOS POR ADELANTADO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</si>
  <si>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</si>
  <si>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</si>
  <si>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</si>
  <si>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</si>
  <si>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</si>
  <si>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</t>
  </si>
  <si>
    <t>VALORES EN GARANTÍA A LARGO PLAZO</t>
  </si>
  <si>
    <t>BIENES EN GARANTÍA (EXCLUYE DEPÓSITOS DE FONDOS)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</si>
  <si>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</si>
  <si>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</si>
  <si>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</si>
  <si>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</si>
  <si>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INVERSIONES FINANCIERAS A LARGO PLAZO</t>
  </si>
  <si>
    <t>BIENES INMUEBLES E INFRAESTRUCTURA</t>
  </si>
  <si>
    <t>BIENES MUEBLES</t>
  </si>
  <si>
    <t>BIENES INTANGIBLES</t>
  </si>
  <si>
    <t>RESULTADOS DEL EJERCICIO (AHORRO/ DESAHORRO)</t>
  </si>
  <si>
    <t>RESULTADOS DE EJERCICIOS ANTERIORES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</si>
  <si>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</si>
  <si>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</si>
  <si>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</si>
  <si>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</si>
  <si>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</si>
  <si>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</si>
  <si>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</si>
  <si>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</si>
  <si>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</si>
  <si>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t>RESULTADO POR POSICIÓN MONETARIA</t>
  </si>
  <si>
    <t>RESULTADO POR TENENCIA DE ACTIVOS NO MONETARIOS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</si>
  <si>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</si>
  <si>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</si>
  <si>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</si>
  <si>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</si>
  <si>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</si>
  <si>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</si>
  <si>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</si>
  <si>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</si>
  <si>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</si>
  <si>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</si>
  <si>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</si>
  <si>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</si>
  <si>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</si>
  <si>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</si>
  <si>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</si>
  <si>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</si>
  <si>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</si>
  <si>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</si>
  <si>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</si>
  <si>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</si>
  <si>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</si>
  <si>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</si>
  <si>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</si>
  <si>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</si>
  <si>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</si>
  <si>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</si>
  <si>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</si>
  <si>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</si>
  <si>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</si>
  <si>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</si>
  <si>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APROVECHAMIENTOS POR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</si>
  <si>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</si>
  <si>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</si>
  <si>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</si>
  <si>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</si>
  <si>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</si>
  <si>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</si>
  <si>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</si>
  <si>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</t>
  </si>
  <si>
    <t>APORTACIONES</t>
  </si>
  <si>
    <t>CONVENIOS</t>
  </si>
  <si>
    <t>INTERESES GANADOS DE VALORES, CRÉDITOS, BONOS Y OTROS.</t>
  </si>
  <si>
    <t>OTROS INGRESOS FINANCIEROS</t>
  </si>
  <si>
    <t>INCREMENTO POR VARIACIÓN DE INVENTARIOS DE MERCANCÍAS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</si>
  <si>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</si>
  <si>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</si>
  <si>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</si>
  <si>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</si>
  <si>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</si>
  <si>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</si>
  <si>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</si>
  <si>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</si>
  <si>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</si>
  <si>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</si>
  <si>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</si>
  <si>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OTROS INGRESOS Y BENEFICIOS VARIOS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</si>
  <si>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</si>
  <si>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</si>
  <si>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</si>
  <si>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</si>
  <si>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</si>
  <si>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</si>
  <si>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MATERIAS PRIMAS Y MATERIALES DE PRODUCCIÓN Y COMERCIALIZACIÓN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</si>
  <si>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</si>
  <si>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</si>
  <si>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</si>
  <si>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</si>
  <si>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</si>
  <si>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</si>
  <si>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</si>
  <si>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</si>
  <si>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</si>
  <si>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</si>
  <si>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</si>
  <si>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</si>
  <si>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</si>
  <si>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</si>
  <si>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</si>
  <si>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</si>
  <si>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</si>
  <si>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</si>
  <si>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</si>
  <si>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</si>
  <si>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</si>
  <si>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</si>
  <si>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 xml:space="preserve"> 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</si>
  <si>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</si>
  <si>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</si>
  <si>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</si>
  <si>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</si>
  <si>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DONATIVOS A INSTITUCIONES SIN FINES DE LUCRO</t>
  </si>
  <si>
    <t>DONATIVOS A ENTIDADES FEDERATIVAS Y MUNICIPIOS</t>
  </si>
  <si>
    <t>DONATIVOS A FIDEICOMISO, MANDATOS Y CONTRATOS ANALOGOS PRIVADOS</t>
  </si>
  <si>
    <t>DONATIVOS A FIDEICOMISO, MANDATOS Y CONTRATOS ANALOGOS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</si>
  <si>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</si>
  <si>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</si>
  <si>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</si>
  <si>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</si>
  <si>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</si>
  <si>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</si>
  <si>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</si>
  <si>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</si>
  <si>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</si>
  <si>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</si>
  <si>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</si>
  <si>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</si>
  <si>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</si>
  <si>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</si>
  <si>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</si>
  <si>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COSTO POR COBERTURAS</t>
  </si>
  <si>
    <t>APOYOS FINANCIEROS A INTERMEDIARIOS</t>
  </si>
  <si>
    <t>APOYO FINANCIEROS A AHORRADORES Y DEUDORES DEL SISTEMA FINANCIERO NACIONAL</t>
  </si>
  <si>
    <t>ESTIMACIONES PARA CUENTAS INCOBRABLES POR COBRAR A CORTO PLAZO</t>
  </si>
  <si>
    <t>ESTIMACIONES PARA CUENTAS INCOBRABLES POR DEUDORES DIVERSOS A CORTO PLAZO</t>
  </si>
  <si>
    <t>ESTIMACIONES PARA CUENTAS INCOBRABLES POR INGRESOS POR RECUPERAR A CORTO PLAZO</t>
  </si>
  <si>
    <t>ESTIMACIONES PARA CUENTAS INCOBRABLES POR PRÉSTAMOS OTORGADOS A CORTO PLAZO</t>
  </si>
  <si>
    <t>OTRAS ESTIMACIONES PARA CUENTAS INCOBRABLES  A CORTO PLAZO</t>
  </si>
  <si>
    <t>ESTIMACIÓN POR DETERIORO U OBSOLESCENCIA DE INVENTARIOS</t>
  </si>
  <si>
    <t>ESTIMACIÓN POR DETERIORO  DE ALMACÉN DE MATERIALES Y SUMINISTRO DE CONSUMO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</si>
  <si>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</si>
  <si>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</si>
  <si>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RECUPERAR A LARGO PLAZO</t>
  </si>
  <si>
    <t>ESTIMACIONES POR PÉRDIDA DE CUENTAS INCOBRABLES DE PRÉSTAMOS OTORGADOS POR COBRAR LARGO PLAZO</t>
  </si>
  <si>
    <t>ESTIMACIONES POR PÉRDIDA DE OTRAS CUENTAS INCOBRABLES POR COBRAR A LARGO PLAZO</t>
  </si>
  <si>
    <t>DEPRECIACIÓN DE VIVIENDAS</t>
  </si>
  <si>
    <t>DEPRECIACIÓN DE EDIFICIOS NO RESIDENCIALES</t>
  </si>
  <si>
    <t>DEPRECIACIÓN DE OTROS BIENES INMUEBLES</t>
  </si>
  <si>
    <t>DEPRECIACIÓN DE INFRAESTRUCTURA DE CARRETERAS</t>
  </si>
  <si>
    <t>DEPRECIACIÓN DE INFRAESTRUCTURA FERROVIARIA Y MULTIMODAL</t>
  </si>
  <si>
    <t>DEPRECIACIÓN DE INFRAESTRUCTURA PORTUARIA</t>
  </si>
  <si>
    <t>DEPRECIACIÓN DE INFRAESTRUCTURA AEROPORTUARIA</t>
  </si>
  <si>
    <t>DEPRECIACIÓN DE INFRAESTRUCTURA DE TELECOMUNICACIONES</t>
  </si>
  <si>
    <t>DEPRECIACIÓN DE INFRAESTRUCTURA DE AGUA POTABLE, SANEAMIENTO, HIDROAGRÍCOLA Y CONTROL DE INUNDACIONES</t>
  </si>
  <si>
    <t>DEPRECIACIÓN DE INFRAESTRUCTURA ELÉCTRICA</t>
  </si>
  <si>
    <t>DEPRECIACIÓN DE INFRAESTRUCTURA DE PRODUCCIÓN DE HIDROCARBUROS</t>
  </si>
  <si>
    <t>DEPRECIACIÓN DE INFRAESTRUCTURA DE REFINACIÓN, GAS Y PETROQUÍMICA</t>
  </si>
  <si>
    <t>DEPRECIACIÓN DE MOBILIARIO Y EQUIPO DE ADMINISTRACIÓN</t>
  </si>
  <si>
    <t>DEPRECIACIÓN DE MOBILIARIO Y EQUIPO EDUCACIONAL Y RECREATIVO</t>
  </si>
  <si>
    <t>DEPRECIACIÓN DE EQUIPO E INSTRUMENTAL MÉDICO Y DE LABORATORIO</t>
  </si>
  <si>
    <t>DEPRECIACIÓN DE EQUIPO DE TRANSPORTE</t>
  </si>
  <si>
    <t>DEPRECIACIÓN DE EQUIPO DE DEFENSA Y DE SEGURIDAD</t>
  </si>
  <si>
    <t>DEPRECIACIÓN DE MAQUINARIA, OTROS EQUIPOS Y HERRAMIENTAS</t>
  </si>
  <si>
    <t>DETERIORO DE BOVINOS</t>
  </si>
  <si>
    <t>DETERIORO DE PORCINOS</t>
  </si>
  <si>
    <t>DETERIORO DE AVES</t>
  </si>
  <si>
    <t>DETERIORO DE OVINOS Y CAPRINOS</t>
  </si>
  <si>
    <t>DETERIORO DE PECES Y ACUICULTURA</t>
  </si>
  <si>
    <t>DETERIORO DE EQUINOS</t>
  </si>
  <si>
    <t>DETERIORO DE ESPECIES MENORES Y DE ZOOLÓGICO</t>
  </si>
  <si>
    <t>DETERIORO ÁRBOLES Y PLANTAS</t>
  </si>
  <si>
    <t>DETERIORO DE OTROS ACTIVOS BIOLÓGICOS</t>
  </si>
  <si>
    <t>AMORTIZACIÓN DE SOFTWARE</t>
  </si>
  <si>
    <t>AMORTIZACIÓN DE PATENTES, MARCAS Y DERECHOS</t>
  </si>
  <si>
    <t>AMORTIZACIÓN DE CONCESIONES Y FRANQUICIAS</t>
  </si>
  <si>
    <t>AMORTIZACIÓN DE LICENCIAS</t>
  </si>
  <si>
    <t>AMORTIZACIÓN DE OTROS INTANGIBLES</t>
  </si>
  <si>
    <t>PROVISIÓN POR DEMANDAS Y JUICIOS A CORTO PLAZO</t>
  </si>
  <si>
    <t>PROVISIÓN POR PENSIONES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</si>
  <si>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</si>
  <si>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</si>
  <si>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</si>
  <si>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</si>
  <si>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</si>
  <si>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</si>
  <si>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</si>
  <si>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</si>
  <si>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</si>
  <si>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</si>
  <si>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</si>
  <si>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</si>
  <si>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</si>
  <si>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</si>
  <si>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CONSTRUCCIÓN EN BIENES NO CAPITALIZABLE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</si>
  <si>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</si>
  <si>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</si>
  <si>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</si>
  <si>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</si>
  <si>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</si>
  <si>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</si>
  <si>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</si>
  <si>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</si>
  <si>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</si>
  <si>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</si>
  <si>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</si>
  <si>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</si>
  <si>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</si>
  <si>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</si>
  <si>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</si>
  <si>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</si>
  <si>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</si>
  <si>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 PARA RESPALDAR OBLIGACIONES NO FISCALES</t>
  </si>
  <si>
    <t>DEMANDAS JUDICIAL EN PROCESO DE RESOLUCIÓN</t>
  </si>
  <si>
    <t>RESOLUCIÓN DE DEMANDAS EN PROCESO JUDICIAL</t>
  </si>
  <si>
    <t>CONTRATOS PARA INVERSIÓN MEDIANTE PROYECTOS PARA PRESTACION DE SERVICIOS (PPS) Y SIMILARES</t>
  </si>
  <si>
    <t>INVERSIÓN PÚBLICA CONTRATADA MEDIANTE PROYECTOS PARA PRESTACION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</si>
  <si>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</si>
  <si>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</si>
  <si>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</si>
  <si>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</si>
  <si>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BIENES ARQUEOLOGICOS MUEBLES EN CUSTODIA</t>
  </si>
  <si>
    <t>BIENES ARQUEOLOGICOS INMUEBLES EN CUSTODIA</t>
  </si>
  <si>
    <t>BIENES ARQUEOLOGICOS RESTOS HUMANOS, DE LA FLORA Y DE LA FAUNA EN CUSTODIA</t>
  </si>
  <si>
    <t>CUSTODIA DE BIENES ARQUEOLOGICOS MUEBLES</t>
  </si>
  <si>
    <t>CUSTODIA DE BIENES ARQUEOLOGICOS INMUEBLES</t>
  </si>
  <si>
    <t>CUSTODIA DE BIENES ARQUEOLOGICOS RESTOS HUMANOS, DE LA FLORA Y DE LA FAUNA</t>
  </si>
  <si>
    <t>BIENES ARTISTICOS MUEBLES EN CUSTODIA</t>
  </si>
  <si>
    <t>BIENES ARTISTICOS INMUEBLES EN CUSTODIA</t>
  </si>
  <si>
    <t>CUSTODIA DE BIENES ARTISTICOS MUEBLES</t>
  </si>
  <si>
    <t>CUSTODIA DE BIENES ARTISTICOS INMUEBLES</t>
  </si>
  <si>
    <t>BIENES HISTORICOS MUEBLES EN CUSTODIA</t>
  </si>
  <si>
    <t>BIENES HISTORICOS INMUEBLES EN CUSTODIA</t>
  </si>
  <si>
    <t>BIENES HISTORICOS DOCUMENTOS Y EXPEDIENTES EN CUSTODIA</t>
  </si>
  <si>
    <t>BIENES HISTORICOS COLECCIONES EN CUSTODIA</t>
  </si>
  <si>
    <t>CUSTODIA DE BIENES HISTORICOS MUEBLES</t>
  </si>
  <si>
    <t>CUSTODIA DE BIENES HISTORICOS INMUEBLES</t>
  </si>
  <si>
    <t>CUSTODIA DE BIENES HISTORICOS DOCUMENTOS Y EXPEDIENTES</t>
  </si>
  <si>
    <t>CUSTODIA DE BIENES HISTORICOS COLECCIONES</t>
  </si>
  <si>
    <t>CONTROL Y SEGUIMIENTO</t>
  </si>
  <si>
    <t>SEGUIMIENTO Y CONTROL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</si>
  <si>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</si>
  <si>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</si>
  <si>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</si>
  <si>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</si>
  <si>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</si>
  <si>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</si>
  <si>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</si>
  <si>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</si>
  <si>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</si>
  <si>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</si>
  <si>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</si>
  <si>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</si>
  <si>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SUPERÁVIT FINANCIERO</t>
  </si>
  <si>
    <t>DÉFICIT FINANCIERO</t>
  </si>
  <si>
    <t>ADEUDOS DE EJERCICIOS FISCALES ANTERIORES</t>
  </si>
  <si>
    <t>Estado de Actividades</t>
  </si>
  <si>
    <t>(Pesos)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</si>
  <si>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</si>
  <si>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</si>
  <si>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</si>
  <si>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</si>
  <si>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</si>
  <si>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</si>
  <si>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</si>
  <si>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</si>
  <si>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</si>
  <si>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</si>
  <si>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</si>
  <si>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</si>
  <si>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</si>
  <si>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</si>
  <si>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</si>
  <si>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</si>
  <si>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</si>
  <si>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</si>
  <si>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</si>
  <si>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</si>
  <si>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</si>
  <si>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</si>
  <si>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</si>
  <si>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</si>
  <si>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</si>
  <si>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</si>
  <si>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</si>
  <si>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</si>
  <si>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</si>
  <si>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</si>
  <si>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</si>
  <si>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</si>
  <si>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</si>
  <si>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</si>
  <si>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</si>
  <si>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</si>
  <si>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</si>
  <si>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</si>
  <si>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</si>
  <si>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</si>
  <si>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</si>
  <si>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</si>
  <si>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</si>
  <si>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</si>
  <si>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</si>
  <si>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</si>
  <si>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</si>
  <si>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</si>
  <si>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</si>
  <si>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</si>
  <si>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</si>
  <si>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</si>
  <si>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</si>
  <si>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</si>
  <si>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</si>
  <si>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</si>
  <si>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</si>
  <si>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Estado de Situación Financiera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</si>
  <si>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</si>
  <si>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</si>
  <si>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</si>
  <si>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</si>
  <si>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</si>
  <si>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</si>
  <si>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</si>
  <si>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</si>
  <si>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</si>
  <si>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</si>
  <si>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</si>
  <si>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</si>
  <si>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</si>
  <si>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</si>
  <si>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</si>
  <si>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</si>
  <si>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</si>
  <si>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</si>
  <si>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</si>
  <si>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</si>
  <si>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</si>
  <si>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</si>
  <si>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</si>
  <si>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</si>
  <si>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</si>
  <si>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</si>
  <si>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</si>
  <si>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</si>
  <si>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</si>
  <si>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</si>
  <si>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</si>
  <si>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</si>
  <si>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</si>
  <si>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</si>
  <si>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</si>
  <si>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</si>
  <si>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</si>
  <si>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</si>
  <si>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</si>
  <si>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</si>
  <si>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</si>
  <si>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</si>
  <si>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</si>
  <si>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</si>
  <si>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</si>
  <si>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</si>
  <si>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</si>
  <si>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</si>
  <si>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</si>
  <si>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</si>
  <si>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</si>
  <si>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</si>
  <si>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</si>
  <si>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</si>
  <si>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</si>
  <si>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</si>
  <si>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</si>
  <si>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</si>
  <si>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</si>
  <si>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Al 31 de diciembre de 2015 y 2016</t>
  </si>
  <si>
    <t>Estado de Cambios en la Situación Financiera</t>
  </si>
  <si>
    <t>Origen</t>
  </si>
  <si>
    <t>Aplicación</t>
  </si>
  <si>
    <t>Exceso o Insuficiencia en la Actualización de la Hacienda Pública/Patrimonio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</si>
  <si>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</si>
  <si>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</si>
  <si>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</si>
  <si>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</si>
  <si>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</si>
  <si>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</si>
  <si>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</si>
  <si>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</si>
  <si>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</t>
  </si>
  <si>
    <t xml:space="preserve">Bienes Muebles </t>
  </si>
  <si>
    <t>Informe sobre Pasivos Contingentes</t>
  </si>
  <si>
    <t>Denominación del Pasivo Contingente</t>
  </si>
  <si>
    <t>Movimientos del Periodo</t>
  </si>
  <si>
    <t>3 =(1+2)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</si>
  <si>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</si>
  <si>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</si>
  <si>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</si>
  <si>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</si>
  <si>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</si>
  <si>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</si>
  <si>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</si>
  <si>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</si>
  <si>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</si>
  <si>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</si>
  <si>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</si>
  <si>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</si>
  <si>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</si>
  <si>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</si>
  <si>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</si>
  <si>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</si>
  <si>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</si>
  <si>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</si>
  <si>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</si>
  <si>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</si>
  <si>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Variación en la Hacienda Pública</t>
  </si>
  <si>
    <t>Hacienda Pública/Patrimonio Generado de Ejercicios Anteriores</t>
  </si>
  <si>
    <t>Hacienda Pública/Patrimonio Generado del Ejercicio</t>
  </si>
  <si>
    <t xml:space="preserve">Aportaciones </t>
  </si>
  <si>
    <t>Actualización de la Hacienda Pública/Patrimonio</t>
  </si>
  <si>
    <t>Resultados del Ejercicio (Ahorro/Desahorro)</t>
  </si>
  <si>
    <t xml:space="preserve">Revalúos  </t>
  </si>
  <si>
    <t>Estado de Flujos de Efectivo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</si>
  <si>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</si>
  <si>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</si>
  <si>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</si>
  <si>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</si>
  <si>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</si>
  <si>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</si>
  <si>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</si>
  <si>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</si>
  <si>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</si>
  <si>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</si>
  <si>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</si>
  <si>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</si>
  <si>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</si>
  <si>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</si>
  <si>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 xml:space="preserve">   Otros Orígenes de Financiamiento</t>
  </si>
  <si>
    <t>Transferencias al resto del Sector Público</t>
  </si>
  <si>
    <t xml:space="preserve">Subsidios y Subvenciones </t>
  </si>
  <si>
    <t>Servicios de la Deuda</t>
  </si>
  <si>
    <t xml:space="preserve">   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</si>
  <si>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</si>
  <si>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</si>
  <si>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</si>
  <si>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</si>
  <si>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</si>
  <si>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</si>
  <si>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</si>
  <si>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Total</t>
  </si>
  <si>
    <t>ESTADO DE ACTIVIDADES</t>
  </si>
  <si>
    <t>ESTADO DE SITUACIÓN FINANCIERA</t>
  </si>
  <si>
    <t>ESTADO DE CAMBIOS EN LA SITUACIÓN FINANCIERA</t>
  </si>
  <si>
    <t>ESTADO ANALÍTICO DEL ACTIVO</t>
  </si>
  <si>
    <t>ESTADO ANALÍTICO DE LA DEUDA Y OTROS PASIVOS</t>
  </si>
  <si>
    <t>ESTADO DE VARIACIÓN EN LA HACIENDA PÚBLICA</t>
  </si>
  <si>
    <t>ESTADO DE FLUJOS DE EFECTIVO</t>
  </si>
  <si>
    <t>INFORME SOBRE PASIVOS CONTINGENTES</t>
  </si>
  <si>
    <t>DATOS DE LA ENTIDAD</t>
  </si>
  <si>
    <t>ESTADO DE SITUACIÓN FINANCIERA DETALLADO</t>
  </si>
  <si>
    <t>LEY GENERAL DE CONTABILIDAD GUBERNAMENTAL</t>
  </si>
  <si>
    <t>LEY DE DISCIPLINA FINANCIERA DE LAS ENTIDADES FEDERATIVAS Y LOS MUNICIPIOS</t>
  </si>
  <si>
    <t>INFORME ANALÍTICO DE LA DEUDA PÚBLICA Y OTROS PASIVOS</t>
  </si>
  <si>
    <t>INFORME ANALÍTICO DE OBLIGACIONES DIFERENTES DE FINANCIAMIENTOS</t>
  </si>
  <si>
    <t>ENTE PÚBLICO:</t>
  </si>
  <si>
    <t>NOMBRE DE QUIEN AUTORIZA:</t>
  </si>
  <si>
    <t>CARGO DE QUIEN AUTORIZA:</t>
  </si>
  <si>
    <t>NOMBRE DE QUIEN ELABORA:</t>
  </si>
  <si>
    <t>CARGO DE QUIEN ELABORA:</t>
  </si>
  <si>
    <t>Provisión para Contingencias a Corto Plazo</t>
  </si>
  <si>
    <t>Provisión para Pensiones a Largo Plazo</t>
  </si>
  <si>
    <t>Provisión para Contingencias a Largo Plazo</t>
  </si>
  <si>
    <t>ADQUISICIÓN DE BIENES INMUEBLES CON FONDOS DE TERCEROS</t>
  </si>
  <si>
    <t>ADQUISICIÓN DE BIENES MUEBLES CON FONDOS DE TERCEROS</t>
  </si>
  <si>
    <t>ADQUISICIÓN DE BIENES INTANGIBLES CON FONDOS DE TERCEROS</t>
  </si>
  <si>
    <t>ADQUISICIÓN DE MATERIALES Y SUMINISTROS CON FONDOS DE TERCEROS</t>
  </si>
  <si>
    <t>ADQUISICIÓN DE SERVICIOS CON FONDOS DE TERCEROS</t>
  </si>
  <si>
    <t>DISMINUCIÓN DE BIENES POR PERDIDA, OBSOLESCENCIA Y DETERIORO</t>
  </si>
  <si>
    <t>Cuenta Púbica 2016</t>
  </si>
  <si>
    <t>A. Fondos Contingentes a Corto Plazo</t>
  </si>
  <si>
    <t>Provisión para Demandas y Juicios a Corto Plazo</t>
  </si>
  <si>
    <t>B. Fondos Contingentes a Largo Plazo</t>
  </si>
  <si>
    <t>Provisión para Demandas y Juicios a Largo Plazo</t>
  </si>
  <si>
    <t>Total Pasivos Contingentes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</si>
  <si>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</si>
  <si>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</si>
  <si>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</si>
  <si>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</si>
  <si>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</si>
  <si>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</si>
  <si>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</si>
  <si>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</si>
  <si>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</si>
  <si>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</si>
  <si>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</si>
  <si>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</si>
  <si>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</si>
  <si>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</si>
  <si>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</si>
  <si>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</si>
  <si>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</si>
  <si>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</si>
  <si>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</si>
  <si>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</si>
  <si>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</si>
  <si>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</si>
  <si>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</si>
  <si>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</si>
  <si>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</si>
  <si>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</si>
  <si>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</si>
  <si>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</si>
  <si>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</si>
  <si>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</si>
  <si>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</si>
  <si>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</si>
  <si>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</si>
  <si>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</si>
  <si>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</si>
  <si>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</si>
  <si>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</si>
  <si>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</si>
  <si>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</si>
  <si>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</si>
  <si>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</si>
  <si>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</si>
  <si>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</si>
  <si>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</si>
  <si>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</si>
  <si>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</si>
  <si>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</si>
  <si>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</si>
  <si>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</si>
  <si>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</si>
  <si>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</si>
  <si>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</si>
  <si>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</si>
  <si>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</si>
  <si>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</si>
  <si>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</si>
  <si>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</si>
  <si>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</si>
  <si>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</si>
  <si>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</si>
  <si>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</si>
  <si>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</si>
  <si>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</si>
  <si>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</si>
  <si>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</si>
  <si>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</si>
  <si>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</si>
  <si>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</si>
  <si>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</si>
  <si>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</si>
  <si>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</si>
  <si>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</si>
  <si>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</si>
  <si>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</si>
  <si>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</si>
  <si>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</si>
  <si>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</si>
  <si>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</si>
  <si>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</si>
  <si>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</si>
  <si>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</si>
  <si>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</si>
  <si>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</si>
  <si>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</si>
  <si>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</si>
  <si>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</si>
  <si>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</si>
  <si>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</si>
  <si>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</si>
  <si>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</si>
  <si>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</si>
  <si>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</si>
  <si>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</si>
  <si>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</si>
  <si>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</si>
  <si>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</si>
  <si>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</si>
  <si>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</si>
  <si>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</si>
  <si>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</si>
  <si>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</si>
  <si>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</si>
  <si>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</si>
  <si>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</si>
  <si>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</si>
  <si>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</si>
  <si>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</si>
  <si>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</si>
  <si>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</si>
  <si>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</si>
  <si>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</si>
  <si>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ACTIVO</t>
  </si>
  <si>
    <t xml:space="preserve">Concepto (c)
</t>
  </si>
  <si>
    <t>Estado de Situación Financiera Detallado</t>
  </si>
  <si>
    <t xml:space="preserve">(Pesos)
</t>
  </si>
  <si>
    <t xml:space="preserve">Denominación de la Deuda Pública y Otros Pasivos (c)
</t>
  </si>
  <si>
    <t xml:space="preserve">Disposiciones del Periodo (e)
</t>
  </si>
  <si>
    <t xml:space="preserve">Amortizaciones del Periodo (f)
</t>
  </si>
  <si>
    <t xml:space="preserve">Saldo Final del Periodo (h)
h=d+e-f+g
</t>
  </si>
  <si>
    <t xml:space="preserve">Pago de Comisiones y demás costos asociados durante el Periodo (j)
</t>
  </si>
  <si>
    <t>1. Deuda Pública (1=A+B)</t>
  </si>
  <si>
    <t xml:space="preserve">     A. Corto Plazo (A=a1+a2+a3)</t>
  </si>
  <si>
    <t xml:space="preserve">             a1) Instituciones de Crédito</t>
  </si>
  <si>
    <t xml:space="preserve">            a2) Títulos y Valores</t>
  </si>
  <si>
    <t xml:space="preserve">            a3) Arrendamientos Financieros</t>
  </si>
  <si>
    <t xml:space="preserve">     B. Largo Plazo (B=b1+b2+b3)</t>
  </si>
  <si>
    <t xml:space="preserve">             b1) Instituciones de Crédito</t>
  </si>
  <si>
    <t xml:space="preserve">            b2) Títulos y Valores</t>
  </si>
  <si>
    <t xml:space="preserve">            b3) Arrendamientos Financieros</t>
  </si>
  <si>
    <t>2. Otros Pasivos</t>
  </si>
  <si>
    <t>3. Total de la Deuda Pública y Otros Pasivos (3=1+2)</t>
  </si>
  <si>
    <t xml:space="preserve">     A. Deuda Contingente 1</t>
  </si>
  <si>
    <t xml:space="preserve">     B. Deuda Contingente 2</t>
  </si>
  <si>
    <t xml:space="preserve">     C. Deuda Contingente XX</t>
  </si>
  <si>
    <t>5. Valor de Instrumentos Bono Cupón Cero 2 (Informativo)</t>
  </si>
  <si>
    <t xml:space="preserve">     A. Instrumento Bono Cupón Cero 1</t>
  </si>
  <si>
    <t xml:space="preserve">     B. Instrumento Bono Cupón Cero 2</t>
  </si>
  <si>
    <t xml:space="preserve">     C. Instrumento Bono Cupón Cero XX</t>
  </si>
  <si>
    <t xml:space="preserve">                       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</si>
  <si>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Informe Analítico de la Deuda y Otros Pasivos</t>
  </si>
  <si>
    <r>
      <t>Revaluaciones, Reclasificaciones y Otros Ajustes (g)</t>
    </r>
    <r>
      <rPr>
        <b/>
        <sz val="9"/>
        <color rgb="FF000000"/>
        <rFont val="Calibri"/>
        <family val="2"/>
        <scheme val="minor"/>
      </rPr>
      <t xml:space="preserve"> </t>
    </r>
  </si>
  <si>
    <r>
      <t>Pago de Intereses del Periodo (i)</t>
    </r>
    <r>
      <rPr>
        <b/>
        <sz val="9"/>
        <color rgb="FF000000"/>
        <rFont val="Calibri"/>
        <family val="2"/>
        <scheme val="minor"/>
      </rPr>
      <t xml:space="preserve"> </t>
    </r>
  </si>
  <si>
    <r>
      <t xml:space="preserve">4. Deuda Contingente </t>
    </r>
    <r>
      <rPr>
        <b/>
        <sz val="9"/>
        <color theme="1"/>
        <rFont val="Times New Roman"/>
        <family val="1"/>
      </rPr>
      <t>1 (informativo)</t>
    </r>
  </si>
  <si>
    <t xml:space="preserve">     A. Crédito XX</t>
  </si>
  <si>
    <t xml:space="preserve">     A. Crédito 2</t>
  </si>
  <si>
    <t xml:space="preserve">     A. Crédito 1</t>
  </si>
  <si>
    <t>(Informativo)</t>
  </si>
  <si>
    <t>6. Obligaciones a Corto Plazo</t>
  </si>
  <si>
    <t>Monto  Contratado (l)</t>
  </si>
  <si>
    <t xml:space="preserve">                                              Obligaciones a Corto Plazo (k)
</t>
  </si>
  <si>
    <r>
      <t>Tasa de Interés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(n)</t>
    </r>
    <r>
      <rPr>
        <b/>
        <sz val="8"/>
        <color rgb="FF000000"/>
        <rFont val="Calibri"/>
        <family val="2"/>
        <scheme val="minor"/>
      </rPr>
      <t xml:space="preserve"> </t>
    </r>
  </si>
  <si>
    <t xml:space="preserve">                       2 Se refiere al valor del Bono Cupón Cero que respalda el pago de los créditos asociados al mismo (Activo).</t>
  </si>
  <si>
    <t xml:space="preserve">Denominación de las Obligaciones Diferentes de Financiamiento (c)
</t>
  </si>
  <si>
    <t>Fecha del Contrato (d)</t>
  </si>
  <si>
    <t xml:space="preserve">Fecha de inicio de operación del proyecto (e)
</t>
  </si>
  <si>
    <t xml:space="preserve">Fecha de vencimiento (f)
</t>
  </si>
  <si>
    <t xml:space="preserve">Monto de la inversión pactado (g)
</t>
  </si>
  <si>
    <t xml:space="preserve">Plazo pactado (h)
</t>
  </si>
  <si>
    <t xml:space="preserve">Monto promedio mensual del pago de la contraprestación (i)
</t>
  </si>
  <si>
    <t xml:space="preserve">Monto promedio mensual del pago de la contraprestación correspondiente al pago de inversión (j)
</t>
  </si>
  <si>
    <t xml:space="preserve">a) APP 1 </t>
  </si>
  <si>
    <t xml:space="preserve">b) APP 2 </t>
  </si>
  <si>
    <t xml:space="preserve">c) APP 3 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</si>
  <si>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</si>
  <si>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</si>
  <si>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</si>
  <si>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</si>
  <si>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</si>
  <si>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</si>
  <si>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 (C=A+B)</t>
  </si>
  <si>
    <t>Informe analítico de Obligaciones Diferentes de Financimentos</t>
  </si>
  <si>
    <t>ADQUISICIÓN DE OTROS ACTIVOS CON FONDOS DE TERCEROS</t>
  </si>
  <si>
    <t>Gastos de Funcionamiento</t>
  </si>
  <si>
    <t>TRANSFERENCIAS DE CAPITAL EN DINERO O EN ESPECIE</t>
  </si>
  <si>
    <t>Del 1 de enero al 31 de diciembre de 2014 y 2015</t>
  </si>
  <si>
    <t xml:space="preserve">Plazo Pactado (m)
</t>
  </si>
  <si>
    <t xml:space="preserve">Comisiones y Costos Relacionados (o)
</t>
  </si>
  <si>
    <t xml:space="preserve">Tasa Efectiva (p)
</t>
  </si>
  <si>
    <t>A. Asociaciones Público Privadas (APP’s) (A=a+b+c+d)</t>
  </si>
  <si>
    <t>INFORMACIÓN TRIMESTRAL</t>
  </si>
  <si>
    <t>TRIMESTRE:</t>
  </si>
  <si>
    <t>PERIODOS</t>
  </si>
  <si>
    <t>Valor</t>
  </si>
  <si>
    <t>Descripción</t>
  </si>
  <si>
    <t>Saldo Final Ejercicio 2016</t>
  </si>
  <si>
    <t>ENTE:</t>
  </si>
  <si>
    <t>Esquemas Bursátiles</t>
  </si>
  <si>
    <t>Coberturas Financieras</t>
  </si>
  <si>
    <t>ESQUEMAS BURSÁTILES</t>
  </si>
  <si>
    <t>COBERTURAS FINANCIERAS</t>
  </si>
  <si>
    <t>COMPROBACIÓN</t>
  </si>
  <si>
    <t>RESULTADO</t>
  </si>
  <si>
    <t>HACIENDA PUBLICA</t>
  </si>
  <si>
    <t>EFECTIVO Y EQUIVALENTE</t>
  </si>
  <si>
    <t>PASIVOS CONTINGENTES</t>
  </si>
  <si>
    <t>DEUDA Y PASIVO</t>
  </si>
  <si>
    <t>COMPROBACIÓN TOTALES</t>
  </si>
  <si>
    <t xml:space="preserve">BALANZA </t>
  </si>
  <si>
    <t>Denominación del Esquema</t>
  </si>
  <si>
    <t>Sector del Emisor</t>
  </si>
  <si>
    <t>Emisor</t>
  </si>
  <si>
    <t>Acciones</t>
  </si>
  <si>
    <t>Bonos</t>
  </si>
  <si>
    <t>Totales</t>
  </si>
  <si>
    <t>Por Tipo de Valor</t>
  </si>
  <si>
    <t>Tipo de Cobertura</t>
  </si>
  <si>
    <t>Riesgo a Cubrir</t>
  </si>
  <si>
    <t>EA</t>
  </si>
  <si>
    <t>ESF</t>
  </si>
  <si>
    <t>EVHP</t>
  </si>
  <si>
    <t>EFE</t>
  </si>
  <si>
    <t>IPC</t>
  </si>
  <si>
    <t>BALANZA</t>
  </si>
  <si>
    <t>EAA</t>
  </si>
  <si>
    <t>EADP</t>
  </si>
  <si>
    <t>IADOP</t>
  </si>
  <si>
    <t>ESFD</t>
  </si>
  <si>
    <t>ACTIVO-PASIVO-HACIENDA</t>
  </si>
  <si>
    <t>Ejercicio 2018</t>
  </si>
  <si>
    <t>Saldo Final Ejercicio 2017</t>
  </si>
  <si>
    <t>Saldo Final 2018</t>
  </si>
  <si>
    <t xml:space="preserve">31 de diciembre de 2017 (e)
</t>
  </si>
  <si>
    <t xml:space="preserve">Saldo al 31 de diciembre de 2017 (d)
</t>
  </si>
  <si>
    <t>DIVIDIR EXCEL</t>
  </si>
  <si>
    <t>IMPRIMIR PDF</t>
  </si>
  <si>
    <t>Exceso o Insuficiencia en la Actualización de la Hacienda Pública / Patrimonio</t>
  </si>
  <si>
    <t>Hacienda Pública / Patrimonio Contribuido Neto de 2017</t>
  </si>
  <si>
    <t>Hacienda Pública / Patrimonio Generado Neto de 2017</t>
  </si>
  <si>
    <t>Exceso o Insuficiencia en la Actualización de la Hacienda Pública / Patrimonio Neto de 2017</t>
  </si>
  <si>
    <t>Hacienda Pública / Patrimonio Neto Final de 2017</t>
  </si>
  <si>
    <t>Cambios en la Hacienda Pública / Patrimonio Contribuido Neto de 2018</t>
  </si>
  <si>
    <t>Variaciones de la Hacienda Pública / Patrimonio Neto de 2018</t>
  </si>
  <si>
    <t>Cambios en el Exceso o Insuficiencia en la Actualización de la Hacienda Pública / Patrimonio Neto de 2018</t>
  </si>
  <si>
    <t>Hacienda Pública / Patrimonio Neto Final de 2018</t>
  </si>
  <si>
    <t>Fondo Revolvente en Dependencias</t>
  </si>
  <si>
    <t>UNIDAD DE SERVICIOS PARA LA EDUCACIÓN BÁSICA EN EL ESTADO DE QUERÉTARO</t>
  </si>
  <si>
    <t>ING. ENRIQUE DE ECHAVARRI LARY</t>
  </si>
  <si>
    <t>COORDINADOR GENERAL</t>
  </si>
  <si>
    <t>LIC. RICARDO SALVADOR BACA MUÑOZ</t>
  </si>
  <si>
    <t>DIRECTOR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</si>
</sst>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0.000000000000000000000000000000"/>
    <numFmt numFmtId="165" formatCode="#,##0.000000000000000000000000000000_ ;\-#,##0.000000000000000000000000000000\ "/>
    <numFmt numFmtId="166" formatCode="0_ ;\-0\ "/>
    <numFmt numFmtId="167" formatCode="General_)"/>
    <numFmt numFmtId="168" formatCode="#,##0_ ;\-#,##0\ "/>
    <numFmt numFmtId="169" formatCode="#,##0.00_ ;[Red]\-#,##0.00\ "/>
    <numFmt numFmtId="170" formatCode="#,##0_ ;[Red]\-#,##0\ "/>
    <numFmt numFmtId="171" formatCode="0_ ;[Red]\-0\ "/>
    <numFmt numFmtId="172" formatCode="mmmm\-yyyy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2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Times New Roman"/>
      <family val="1"/>
    </font>
    <font>
      <b/>
      <sz val="8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7" fontId="8" fillId="0" borderId="0"/>
    <xf numFmtId="0" fontId="1" fillId="0" borderId="0"/>
    <xf numFmtId="43" fontId="20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542">
    <xf numFmtId="0" fontId="0" fillId="0" borderId="0" xfId="0"/>
    <xf numFmtId="0" fontId="5" fillId="0" borderId="0" xfId="0" applyFont="1" applyFill="1" applyProtection="1"/>
    <xf numFmtId="0" fontId="4" fillId="0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/>
    <xf numFmtId="164" fontId="5" fillId="0" borderId="0" xfId="0" applyNumberFormat="1" applyFont="1" applyFill="1" applyProtection="1"/>
    <xf numFmtId="164" fontId="5" fillId="0" borderId="0" xfId="1" applyNumberFormat="1" applyFont="1" applyFill="1" applyProtection="1"/>
    <xf numFmtId="0" fontId="4" fillId="0" borderId="0" xfId="0" applyFont="1" applyFill="1" applyBorder="1" applyAlignment="1" applyProtection="1">
      <alignment horizontal="center"/>
    </xf>
    <xf numFmtId="164" fontId="6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/>
    </xf>
    <xf numFmtId="4" fontId="5" fillId="0" borderId="0" xfId="1" applyNumberFormat="1" applyFont="1" applyFill="1" applyProtection="1"/>
    <xf numFmtId="165" fontId="5" fillId="0" borderId="0" xfId="0" applyNumberFormat="1" applyFont="1" applyFill="1" applyProtection="1"/>
    <xf numFmtId="43" fontId="5" fillId="0" borderId="0" xfId="0" applyNumberFormat="1" applyFont="1" applyFill="1" applyProtection="1"/>
    <xf numFmtId="165" fontId="5" fillId="3" borderId="0" xfId="0" applyNumberFormat="1" applyFont="1" applyFill="1" applyProtection="1"/>
    <xf numFmtId="4" fontId="5" fillId="0" borderId="0" xfId="0" applyNumberFormat="1" applyFont="1" applyFill="1" applyProtection="1"/>
    <xf numFmtId="1" fontId="5" fillId="0" borderId="0" xfId="1" applyNumberFormat="1" applyFont="1" applyFill="1" applyProtection="1"/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4" fontId="5" fillId="0" borderId="1" xfId="1" applyNumberFormat="1" applyFont="1" applyFill="1" applyBorder="1" applyProtection="1"/>
    <xf numFmtId="4" fontId="5" fillId="0" borderId="0" xfId="1" applyNumberFormat="1" applyFont="1" applyFill="1" applyBorder="1" applyProtection="1"/>
    <xf numFmtId="4" fontId="4" fillId="0" borderId="0" xfId="1" applyNumberFormat="1" applyFont="1" applyFill="1" applyProtection="1"/>
    <xf numFmtId="0" fontId="7" fillId="4" borderId="0" xfId="0" applyFont="1" applyFill="1" applyProtection="1"/>
    <xf numFmtId="0" fontId="5" fillId="4" borderId="0" xfId="0" applyFont="1" applyFill="1" applyBorder="1" applyProtection="1"/>
    <xf numFmtId="0" fontId="5" fillId="4" borderId="0" xfId="0" applyFont="1" applyFill="1" applyProtection="1"/>
    <xf numFmtId="0" fontId="9" fillId="4" borderId="0" xfId="2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right"/>
    </xf>
    <xf numFmtId="0" fontId="9" fillId="4" borderId="0" xfId="2" applyFont="1" applyFill="1" applyBorder="1" applyAlignment="1" applyProtection="1">
      <alignment horizontal="centerContinuous"/>
    </xf>
    <xf numFmtId="0" fontId="5" fillId="4" borderId="0" xfId="0" applyFont="1" applyFill="1" applyBorder="1" applyAlignment="1" applyProtection="1"/>
    <xf numFmtId="0" fontId="10" fillId="4" borderId="0" xfId="2" applyFont="1" applyFill="1" applyBorder="1" applyAlignment="1" applyProtection="1">
      <alignment horizontal="center" vertical="center"/>
    </xf>
    <xf numFmtId="0" fontId="10" fillId="4" borderId="0" xfId="2" applyFont="1" applyFill="1" applyBorder="1" applyAlignment="1" applyProtection="1">
      <alignment horizontal="center"/>
    </xf>
    <xf numFmtId="0" fontId="11" fillId="4" borderId="0" xfId="0" applyFont="1" applyFill="1" applyBorder="1" applyAlignment="1" applyProtection="1">
      <alignment horizontal="center"/>
    </xf>
    <xf numFmtId="0" fontId="5" fillId="4" borderId="7" xfId="0" applyFont="1" applyFill="1" applyBorder="1" applyAlignment="1" applyProtection="1"/>
    <xf numFmtId="0" fontId="9" fillId="4" borderId="0" xfId="2" applyFont="1" applyFill="1" applyBorder="1" applyAlignment="1" applyProtection="1">
      <alignment vertical="center"/>
    </xf>
    <xf numFmtId="0" fontId="10" fillId="4" borderId="0" xfId="2" applyFont="1" applyFill="1" applyBorder="1" applyAlignment="1" applyProtection="1"/>
    <xf numFmtId="0" fontId="5" fillId="4" borderId="8" xfId="0" applyFont="1" applyFill="1" applyBorder="1" applyProtection="1"/>
    <xf numFmtId="0" fontId="9" fillId="4" borderId="7" xfId="0" applyFont="1" applyFill="1" applyBorder="1" applyAlignment="1" applyProtection="1"/>
    <xf numFmtId="3" fontId="10" fillId="4" borderId="0" xfId="0" applyNumberFormat="1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5" fillId="4" borderId="8" xfId="0" applyFont="1" applyFill="1" applyBorder="1" applyAlignment="1" applyProtection="1"/>
    <xf numFmtId="0" fontId="5" fillId="4" borderId="0" xfId="0" applyFont="1" applyFill="1" applyAlignment="1" applyProtection="1"/>
    <xf numFmtId="0" fontId="9" fillId="4" borderId="7" xfId="0" applyFont="1" applyFill="1" applyBorder="1" applyAlignment="1" applyProtection="1">
      <alignment horizontal="left" vertical="top"/>
    </xf>
    <xf numFmtId="3" fontId="9" fillId="4" borderId="0" xfId="0" applyNumberFormat="1" applyFont="1" applyFill="1" applyBorder="1" applyAlignment="1" applyProtection="1">
      <alignment vertical="top"/>
    </xf>
    <xf numFmtId="0" fontId="5" fillId="4" borderId="8" xfId="0" applyFont="1" applyFill="1" applyBorder="1" applyAlignment="1" applyProtection="1">
      <alignment vertical="top"/>
    </xf>
    <xf numFmtId="0" fontId="10" fillId="4" borderId="7" xfId="0" applyFont="1" applyFill="1" applyBorder="1" applyAlignment="1" applyProtection="1">
      <alignment horizontal="left" vertical="top"/>
    </xf>
    <xf numFmtId="3" fontId="10" fillId="4" borderId="0" xfId="1" applyNumberFormat="1" applyFont="1" applyFill="1" applyBorder="1" applyAlignment="1" applyProtection="1">
      <alignment vertical="top"/>
    </xf>
    <xf numFmtId="0" fontId="9" fillId="4" borderId="0" xfId="0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vertical="top"/>
    </xf>
    <xf numFmtId="3" fontId="13" fillId="4" borderId="0" xfId="0" applyNumberFormat="1" applyFont="1" applyFill="1" applyBorder="1" applyAlignment="1" applyProtection="1">
      <alignment vertical="top"/>
    </xf>
    <xf numFmtId="0" fontId="14" fillId="4" borderId="0" xfId="0" applyFont="1" applyFill="1" applyBorder="1" applyAlignment="1" applyProtection="1">
      <alignment vertical="top"/>
    </xf>
    <xf numFmtId="0" fontId="14" fillId="4" borderId="7" xfId="0" applyFont="1" applyFill="1" applyBorder="1" applyAlignment="1" applyProtection="1">
      <alignment horizontal="left" vertical="top"/>
    </xf>
    <xf numFmtId="3" fontId="14" fillId="4" borderId="0" xfId="0" applyNumberFormat="1" applyFont="1" applyFill="1" applyBorder="1" applyAlignment="1" applyProtection="1">
      <alignment vertical="top"/>
    </xf>
    <xf numFmtId="0" fontId="15" fillId="4" borderId="0" xfId="0" applyFont="1" applyFill="1" applyBorder="1" applyAlignment="1" applyProtection="1">
      <alignment vertical="top"/>
    </xf>
    <xf numFmtId="3" fontId="9" fillId="4" borderId="0" xfId="1" applyNumberFormat="1" applyFont="1" applyFill="1" applyBorder="1" applyAlignment="1" applyProtection="1">
      <alignment vertical="top"/>
    </xf>
    <xf numFmtId="0" fontId="5" fillId="4" borderId="7" xfId="0" applyFont="1" applyFill="1" applyBorder="1" applyProtection="1"/>
    <xf numFmtId="3" fontId="14" fillId="4" borderId="0" xfId="1" applyNumberFormat="1" applyFont="1" applyFill="1" applyBorder="1" applyAlignment="1" applyProtection="1">
      <alignment vertical="top"/>
    </xf>
    <xf numFmtId="0" fontId="15" fillId="4" borderId="8" xfId="0" applyFont="1" applyFill="1" applyBorder="1" applyAlignment="1" applyProtection="1">
      <alignment vertical="top"/>
    </xf>
    <xf numFmtId="0" fontId="14" fillId="4" borderId="0" xfId="0" applyFont="1" applyFill="1" applyBorder="1" applyAlignment="1" applyProtection="1">
      <alignment vertical="top" wrapText="1"/>
    </xf>
    <xf numFmtId="0" fontId="5" fillId="4" borderId="9" xfId="0" applyFont="1" applyFill="1" applyBorder="1" applyProtection="1"/>
    <xf numFmtId="0" fontId="5" fillId="4" borderId="1" xfId="0" applyFont="1" applyFill="1" applyBorder="1" applyProtection="1"/>
    <xf numFmtId="0" fontId="5" fillId="4" borderId="1" xfId="0" applyFont="1" applyFill="1" applyBorder="1" applyAlignment="1" applyProtection="1"/>
    <xf numFmtId="0" fontId="5" fillId="4" borderId="10" xfId="0" applyFont="1" applyFill="1" applyBorder="1" applyProtection="1"/>
    <xf numFmtId="0" fontId="10" fillId="4" borderId="1" xfId="0" applyFont="1" applyFill="1" applyBorder="1" applyAlignment="1" applyProtection="1">
      <alignment vertical="top"/>
    </xf>
    <xf numFmtId="0" fontId="10" fillId="4" borderId="1" xfId="0" applyFont="1" applyFill="1" applyBorder="1" applyProtection="1"/>
    <xf numFmtId="43" fontId="10" fillId="4" borderId="1" xfId="1" applyFont="1" applyFill="1" applyBorder="1" applyProtection="1"/>
    <xf numFmtId="0" fontId="10" fillId="4" borderId="1" xfId="0" applyFont="1" applyFill="1" applyBorder="1" applyAlignment="1" applyProtection="1">
      <alignment vertical="center"/>
    </xf>
    <xf numFmtId="0" fontId="10" fillId="4" borderId="1" xfId="0" applyFont="1" applyFill="1" applyBorder="1" applyAlignment="1" applyProtection="1"/>
    <xf numFmtId="0" fontId="10" fillId="4" borderId="0" xfId="0" applyFont="1" applyFill="1" applyBorder="1" applyProtection="1"/>
    <xf numFmtId="43" fontId="10" fillId="4" borderId="0" xfId="1" applyFont="1" applyFill="1" applyBorder="1" applyProtection="1"/>
    <xf numFmtId="0" fontId="10" fillId="4" borderId="0" xfId="0" applyFont="1" applyFill="1" applyBorder="1" applyAlignment="1" applyProtection="1">
      <alignment vertical="center"/>
    </xf>
    <xf numFmtId="0" fontId="10" fillId="4" borderId="0" xfId="0" applyFont="1" applyFill="1" applyBorder="1" applyAlignment="1" applyProtection="1"/>
    <xf numFmtId="0" fontId="9" fillId="4" borderId="0" xfId="0" applyFont="1" applyFill="1" applyBorder="1" applyAlignment="1" applyProtection="1">
      <alignment horizontal="right" vertical="top"/>
    </xf>
    <xf numFmtId="0" fontId="9" fillId="4" borderId="0" xfId="0" applyFont="1" applyFill="1" applyBorder="1" applyAlignment="1" applyProtection="1">
      <alignment vertical="top"/>
    </xf>
    <xf numFmtId="0" fontId="10" fillId="4" borderId="0" xfId="0" applyFont="1" applyFill="1" applyBorder="1" applyAlignment="1" applyProtection="1">
      <alignment horizontal="right"/>
    </xf>
    <xf numFmtId="43" fontId="10" fillId="4" borderId="0" xfId="1" applyFont="1" applyFill="1" applyBorder="1" applyAlignment="1" applyProtection="1">
      <alignment vertical="top"/>
    </xf>
    <xf numFmtId="0" fontId="10" fillId="4" borderId="0" xfId="0" applyFont="1" applyFill="1" applyBorder="1" applyAlignment="1" applyProtection="1">
      <alignment vertical="top" wrapText="1"/>
    </xf>
    <xf numFmtId="0" fontId="9" fillId="0" borderId="0" xfId="0" applyNumberFormat="1" applyFont="1" applyFill="1" applyBorder="1" applyAlignment="1" applyProtection="1">
      <alignment horizontal="center"/>
    </xf>
    <xf numFmtId="0" fontId="5" fillId="4" borderId="0" xfId="0" applyFont="1" applyFill="1" applyAlignment="1" applyProtection="1">
      <alignment vertical="top"/>
    </xf>
    <xf numFmtId="0" fontId="9" fillId="4" borderId="0" xfId="3" applyNumberFormat="1" applyFont="1" applyFill="1" applyBorder="1" applyAlignment="1" applyProtection="1">
      <alignment horizontal="centerContinuous" vertical="center"/>
    </xf>
    <xf numFmtId="0" fontId="9" fillId="4" borderId="0" xfId="3" applyNumberFormat="1" applyFont="1" applyFill="1" applyBorder="1" applyAlignment="1" applyProtection="1">
      <alignment vertical="center"/>
    </xf>
    <xf numFmtId="0" fontId="9" fillId="4" borderId="0" xfId="3" applyNumberFormat="1" applyFont="1" applyFill="1" applyBorder="1" applyAlignment="1" applyProtection="1">
      <alignment horizontal="right" vertical="top"/>
    </xf>
    <xf numFmtId="0" fontId="11" fillId="4" borderId="0" xfId="0" applyFont="1" applyFill="1" applyAlignment="1" applyProtection="1">
      <alignment vertical="top"/>
    </xf>
    <xf numFmtId="0" fontId="11" fillId="4" borderId="0" xfId="0" applyFont="1" applyFill="1" applyBorder="1" applyProtection="1"/>
    <xf numFmtId="0" fontId="9" fillId="4" borderId="7" xfId="3" applyNumberFormat="1" applyFont="1" applyFill="1" applyBorder="1" applyAlignment="1" applyProtection="1">
      <alignment vertical="center"/>
    </xf>
    <xf numFmtId="0" fontId="5" fillId="4" borderId="7" xfId="0" applyFont="1" applyFill="1" applyBorder="1" applyAlignment="1" applyProtection="1">
      <alignment vertical="top"/>
    </xf>
    <xf numFmtId="168" fontId="10" fillId="4" borderId="0" xfId="1" applyNumberFormat="1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horizontal="right" vertical="top"/>
    </xf>
    <xf numFmtId="0" fontId="10" fillId="4" borderId="0" xfId="0" applyFont="1" applyFill="1" applyBorder="1" applyAlignment="1" applyProtection="1">
      <alignment horizontal="left" vertical="top" wrapText="1"/>
    </xf>
    <xf numFmtId="0" fontId="4" fillId="4" borderId="7" xfId="0" applyFont="1" applyFill="1" applyBorder="1" applyAlignment="1" applyProtection="1">
      <alignment vertical="top"/>
    </xf>
    <xf numFmtId="0" fontId="4" fillId="4" borderId="0" xfId="0" applyFont="1" applyFill="1" applyBorder="1" applyAlignment="1" applyProtection="1">
      <alignment horizontal="right" vertical="top"/>
    </xf>
    <xf numFmtId="0" fontId="9" fillId="4" borderId="0" xfId="0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vertical="top" wrapText="1"/>
    </xf>
    <xf numFmtId="0" fontId="9" fillId="4" borderId="0" xfId="0" applyFont="1" applyFill="1" applyBorder="1" applyAlignment="1" applyProtection="1">
      <alignment horizontal="left" vertical="top"/>
    </xf>
    <xf numFmtId="0" fontId="11" fillId="4" borderId="0" xfId="0" applyFont="1" applyFill="1" applyBorder="1" applyAlignment="1" applyProtection="1">
      <alignment vertical="center" wrapText="1"/>
    </xf>
    <xf numFmtId="3" fontId="13" fillId="4" borderId="0" xfId="1" applyNumberFormat="1" applyFont="1" applyFill="1" applyBorder="1" applyAlignment="1" applyProtection="1">
      <alignment vertical="top"/>
    </xf>
    <xf numFmtId="3" fontId="10" fillId="4" borderId="0" xfId="0" applyNumberFormat="1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horizontal="left" vertical="top"/>
    </xf>
    <xf numFmtId="0" fontId="5" fillId="4" borderId="9" xfId="0" applyFont="1" applyFill="1" applyBorder="1" applyAlignment="1" applyProtection="1">
      <alignment vertical="top"/>
    </xf>
    <xf numFmtId="0" fontId="5" fillId="4" borderId="1" xfId="0" applyFont="1" applyFill="1" applyBorder="1" applyAlignment="1" applyProtection="1">
      <alignment vertical="top"/>
    </xf>
    <xf numFmtId="0" fontId="5" fillId="4" borderId="1" xfId="0" applyFont="1" applyFill="1" applyBorder="1" applyAlignment="1" applyProtection="1">
      <alignment horizontal="right" vertical="top"/>
    </xf>
    <xf numFmtId="43" fontId="10" fillId="4" borderId="0" xfId="1" applyFont="1" applyFill="1" applyBorder="1" applyAlignment="1" applyProtection="1">
      <alignment horizontal="right" vertical="top"/>
    </xf>
    <xf numFmtId="0" fontId="4" fillId="4" borderId="0" xfId="0" applyFont="1" applyFill="1" applyBorder="1" applyAlignment="1" applyProtection="1"/>
    <xf numFmtId="0" fontId="9" fillId="4" borderId="0" xfId="2" applyFont="1" applyFill="1" applyBorder="1" applyAlignment="1" applyProtection="1"/>
    <xf numFmtId="0" fontId="5" fillId="4" borderId="0" xfId="0" applyFont="1" applyFill="1" applyAlignment="1" applyProtection="1">
      <alignment wrapText="1"/>
    </xf>
    <xf numFmtId="0" fontId="5" fillId="4" borderId="0" xfId="0" applyFont="1" applyFill="1" applyBorder="1" applyAlignment="1" applyProtection="1">
      <alignment wrapText="1"/>
    </xf>
    <xf numFmtId="0" fontId="9" fillId="4" borderId="0" xfId="2" applyFont="1" applyFill="1" applyBorder="1" applyAlignment="1" applyProtection="1">
      <alignment vertical="top"/>
    </xf>
    <xf numFmtId="0" fontId="17" fillId="4" borderId="0" xfId="2" applyFont="1" applyFill="1" applyBorder="1" applyAlignment="1" applyProtection="1">
      <alignment horizontal="center"/>
    </xf>
    <xf numFmtId="3" fontId="9" fillId="4" borderId="0" xfId="0" applyNumberFormat="1" applyFont="1" applyFill="1" applyBorder="1" applyAlignment="1" applyProtection="1">
      <alignment horizontal="right" vertical="top"/>
    </xf>
    <xf numFmtId="3" fontId="10" fillId="4" borderId="0" xfId="0" applyNumberFormat="1" applyFont="1" applyFill="1" applyBorder="1" applyAlignment="1" applyProtection="1">
      <alignment horizontal="right" vertical="top"/>
    </xf>
    <xf numFmtId="3" fontId="10" fillId="4" borderId="0" xfId="1" applyNumberFormat="1" applyFont="1" applyFill="1" applyBorder="1" applyAlignment="1" applyProtection="1">
      <alignment horizontal="right" vertical="top" wrapText="1"/>
    </xf>
    <xf numFmtId="0" fontId="10" fillId="4" borderId="9" xfId="0" applyFont="1" applyFill="1" applyBorder="1" applyAlignment="1" applyProtection="1">
      <alignment horizontal="left" vertical="top"/>
    </xf>
    <xf numFmtId="3" fontId="10" fillId="4" borderId="1" xfId="1" applyNumberFormat="1" applyFont="1" applyFill="1" applyBorder="1" applyAlignment="1" applyProtection="1">
      <alignment horizontal="right" vertical="top" wrapText="1"/>
    </xf>
    <xf numFmtId="0" fontId="5" fillId="4" borderId="5" xfId="0" applyFont="1" applyFill="1" applyBorder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0" xfId="0" applyFont="1" applyFill="1" applyBorder="1" applyAlignment="1" applyProtection="1">
      <alignment vertical="center" wrapText="1"/>
    </xf>
    <xf numFmtId="0" fontId="10" fillId="4" borderId="0" xfId="0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horizontal="left"/>
    </xf>
    <xf numFmtId="0" fontId="12" fillId="4" borderId="0" xfId="0" applyFont="1" applyFill="1" applyBorder="1" applyProtection="1"/>
    <xf numFmtId="0" fontId="4" fillId="4" borderId="8" xfId="0" applyFont="1" applyFill="1" applyBorder="1" applyAlignment="1" applyProtection="1">
      <alignment vertical="top"/>
    </xf>
    <xf numFmtId="0" fontId="16" fillId="4" borderId="0" xfId="0" applyFont="1" applyFill="1" applyProtection="1"/>
    <xf numFmtId="0" fontId="4" fillId="4" borderId="0" xfId="0" applyFont="1" applyFill="1" applyBorder="1" applyAlignment="1" applyProtection="1">
      <alignment vertical="top"/>
    </xf>
    <xf numFmtId="0" fontId="18" fillId="4" borderId="7" xfId="0" applyFont="1" applyFill="1" applyBorder="1" applyAlignment="1" applyProtection="1">
      <alignment vertical="top"/>
    </xf>
    <xf numFmtId="3" fontId="4" fillId="4" borderId="0" xfId="1" applyNumberFormat="1" applyFont="1" applyFill="1" applyBorder="1" applyAlignment="1" applyProtection="1">
      <alignment vertical="top"/>
    </xf>
    <xf numFmtId="0" fontId="18" fillId="4" borderId="8" xfId="0" applyFont="1" applyFill="1" applyBorder="1" applyAlignment="1" applyProtection="1">
      <alignment vertical="top"/>
    </xf>
    <xf numFmtId="164" fontId="5" fillId="4" borderId="0" xfId="0" applyNumberFormat="1" applyFont="1" applyFill="1" applyProtection="1"/>
    <xf numFmtId="3" fontId="5" fillId="4" borderId="0" xfId="0" applyNumberFormat="1" applyFont="1" applyFill="1" applyBorder="1" applyAlignment="1" applyProtection="1">
      <alignment vertical="top"/>
    </xf>
    <xf numFmtId="2" fontId="5" fillId="4" borderId="0" xfId="1" applyNumberFormat="1" applyFont="1" applyFill="1" applyBorder="1" applyProtection="1"/>
    <xf numFmtId="43" fontId="5" fillId="4" borderId="0" xfId="1" applyFont="1" applyFill="1" applyBorder="1" applyProtection="1"/>
    <xf numFmtId="3" fontId="5" fillId="4" borderId="0" xfId="1" applyNumberFormat="1" applyFont="1" applyFill="1" applyBorder="1" applyAlignment="1" applyProtection="1">
      <alignment vertical="top"/>
    </xf>
    <xf numFmtId="0" fontId="5" fillId="4" borderId="0" xfId="0" applyFont="1" applyFill="1" applyAlignment="1" applyProtection="1">
      <alignment horizontal="center"/>
    </xf>
    <xf numFmtId="167" fontId="10" fillId="4" borderId="0" xfId="3" applyFont="1" applyFill="1" applyBorder="1" applyProtection="1"/>
    <xf numFmtId="0" fontId="9" fillId="4" borderId="7" xfId="3" applyNumberFormat="1" applyFont="1" applyFill="1" applyBorder="1" applyAlignment="1" applyProtection="1">
      <alignment horizontal="centerContinuous" vertical="center"/>
    </xf>
    <xf numFmtId="0" fontId="9" fillId="4" borderId="0" xfId="3" applyNumberFormat="1" applyFont="1" applyFill="1" applyBorder="1" applyAlignment="1" applyProtection="1">
      <alignment vertical="top"/>
    </xf>
    <xf numFmtId="0" fontId="9" fillId="4" borderId="8" xfId="3" applyNumberFormat="1" applyFont="1" applyFill="1" applyBorder="1" applyAlignment="1" applyProtection="1">
      <alignment vertical="top"/>
    </xf>
    <xf numFmtId="0" fontId="4" fillId="4" borderId="7" xfId="0" applyFont="1" applyFill="1" applyBorder="1" applyAlignment="1" applyProtection="1"/>
    <xf numFmtId="0" fontId="9" fillId="4" borderId="8" xfId="0" applyFont="1" applyFill="1" applyBorder="1" applyAlignment="1" applyProtection="1">
      <alignment vertical="top"/>
    </xf>
    <xf numFmtId="0" fontId="17" fillId="4" borderId="0" xfId="0" applyFont="1" applyFill="1" applyBorder="1" applyAlignment="1" applyProtection="1">
      <alignment vertical="top"/>
    </xf>
    <xf numFmtId="0" fontId="18" fillId="4" borderId="7" xfId="0" applyFont="1" applyFill="1" applyBorder="1" applyAlignment="1" applyProtection="1"/>
    <xf numFmtId="0" fontId="5" fillId="4" borderId="0" xfId="0" applyFont="1" applyFill="1" applyBorder="1" applyAlignment="1" applyProtection="1">
      <alignment horizontal="center" vertical="top"/>
    </xf>
    <xf numFmtId="0" fontId="16" fillId="4" borderId="0" xfId="0" applyFont="1" applyFill="1" applyAlignment="1" applyProtection="1">
      <alignment horizontal="left"/>
    </xf>
    <xf numFmtId="0" fontId="18" fillId="4" borderId="9" xfId="0" applyFont="1" applyFill="1" applyBorder="1" applyAlignment="1" applyProtection="1"/>
    <xf numFmtId="0" fontId="14" fillId="4" borderId="1" xfId="0" applyFont="1" applyFill="1" applyBorder="1" applyAlignment="1" applyProtection="1">
      <alignment vertical="top"/>
    </xf>
    <xf numFmtId="0" fontId="18" fillId="4" borderId="10" xfId="0" applyFont="1" applyFill="1" applyBorder="1" applyAlignment="1" applyProtection="1">
      <alignment vertical="top"/>
    </xf>
    <xf numFmtId="0" fontId="10" fillId="4" borderId="0" xfId="0" applyFont="1" applyFill="1" applyProtection="1"/>
    <xf numFmtId="0" fontId="9" fillId="4" borderId="8" xfId="3" applyNumberFormat="1" applyFont="1" applyFill="1" applyBorder="1" applyAlignment="1" applyProtection="1">
      <alignment horizontal="centerContinuous" vertical="center"/>
    </xf>
    <xf numFmtId="0" fontId="19" fillId="4" borderId="0" xfId="0" applyFont="1" applyFill="1" applyBorder="1" applyAlignment="1" applyProtection="1">
      <alignment horizontal="left" vertical="top"/>
    </xf>
    <xf numFmtId="0" fontId="9" fillId="4" borderId="8" xfId="0" applyFont="1" applyFill="1" applyBorder="1" applyAlignment="1" applyProtection="1">
      <alignment vertical="top" wrapText="1"/>
    </xf>
    <xf numFmtId="3" fontId="5" fillId="4" borderId="0" xfId="0" applyNumberFormat="1" applyFont="1" applyFill="1" applyProtection="1"/>
    <xf numFmtId="0" fontId="4" fillId="4" borderId="9" xfId="0" applyFont="1" applyFill="1" applyBorder="1" applyAlignment="1" applyProtection="1">
      <alignment vertical="top"/>
    </xf>
    <xf numFmtId="0" fontId="9" fillId="4" borderId="10" xfId="0" applyFont="1" applyFill="1" applyBorder="1" applyAlignment="1" applyProtection="1">
      <alignment vertical="top" wrapText="1"/>
    </xf>
    <xf numFmtId="0" fontId="10" fillId="4" borderId="0" xfId="0" applyFont="1" applyFill="1" applyAlignment="1" applyProtection="1">
      <alignment wrapText="1"/>
    </xf>
    <xf numFmtId="43" fontId="10" fillId="4" borderId="0" xfId="1" applyNumberFormat="1" applyFont="1" applyFill="1" applyAlignment="1" applyProtection="1">
      <alignment horizontal="center"/>
    </xf>
    <xf numFmtId="0" fontId="5" fillId="4" borderId="0" xfId="0" applyFont="1" applyFill="1" applyBorder="1" applyAlignment="1" applyProtection="1">
      <alignment horizontal="centerContinuous"/>
    </xf>
    <xf numFmtId="0" fontId="9" fillId="4" borderId="0" xfId="2" applyFont="1" applyFill="1" applyBorder="1" applyAlignment="1" applyProtection="1">
      <alignment horizontal="center" vertical="top"/>
    </xf>
    <xf numFmtId="0" fontId="10" fillId="4" borderId="0" xfId="2" applyFont="1" applyFill="1" applyBorder="1" applyAlignment="1" applyProtection="1">
      <alignment horizontal="centerContinuous" vertical="center"/>
    </xf>
    <xf numFmtId="0" fontId="10" fillId="4" borderId="0" xfId="2" applyFont="1" applyFill="1" applyBorder="1" applyAlignment="1" applyProtection="1">
      <alignment horizontal="center" vertical="top"/>
    </xf>
    <xf numFmtId="0" fontId="10" fillId="4" borderId="0" xfId="2" applyFont="1" applyFill="1" applyBorder="1" applyAlignment="1" applyProtection="1">
      <alignment vertical="top"/>
    </xf>
    <xf numFmtId="3" fontId="10" fillId="4" borderId="0" xfId="2" applyNumberFormat="1" applyFont="1" applyFill="1" applyBorder="1" applyAlignment="1" applyProtection="1">
      <alignment vertical="top"/>
    </xf>
    <xf numFmtId="3" fontId="9" fillId="4" borderId="0" xfId="2" applyNumberFormat="1" applyFont="1" applyFill="1" applyBorder="1" applyAlignment="1" applyProtection="1">
      <alignment horizontal="right" vertical="top" wrapText="1"/>
    </xf>
    <xf numFmtId="0" fontId="5" fillId="4" borderId="7" xfId="0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horizontal="left" vertical="top" wrapText="1"/>
    </xf>
    <xf numFmtId="0" fontId="5" fillId="4" borderId="8" xfId="0" applyFont="1" applyFill="1" applyBorder="1" applyAlignment="1" applyProtection="1">
      <alignment horizontal="left" wrapText="1"/>
    </xf>
    <xf numFmtId="0" fontId="5" fillId="4" borderId="0" xfId="0" applyFont="1" applyFill="1" applyAlignment="1" applyProtection="1">
      <alignment horizontal="left" wrapText="1"/>
    </xf>
    <xf numFmtId="0" fontId="9" fillId="4" borderId="1" xfId="2" applyFont="1" applyFill="1" applyBorder="1" applyAlignment="1" applyProtection="1">
      <alignment vertical="top"/>
    </xf>
    <xf numFmtId="3" fontId="10" fillId="4" borderId="1" xfId="2" applyNumberFormat="1" applyFont="1" applyFill="1" applyBorder="1" applyAlignment="1" applyProtection="1">
      <alignment vertical="top"/>
    </xf>
    <xf numFmtId="0" fontId="16" fillId="4" borderId="0" xfId="0" applyFont="1" applyFill="1" applyAlignment="1" applyProtection="1">
      <alignment horizontal="center"/>
    </xf>
    <xf numFmtId="0" fontId="5" fillId="2" borderId="4" xfId="0" applyFont="1" applyFill="1" applyBorder="1" applyAlignment="1" applyProtection="1">
      <alignment horizontal="center" vertical="center"/>
    </xf>
    <xf numFmtId="166" fontId="4" fillId="2" borderId="5" xfId="1" applyNumberFormat="1" applyFont="1" applyFill="1" applyBorder="1" applyAlignment="1" applyProtection="1">
      <alignment horizontal="center" vertical="center"/>
    </xf>
    <xf numFmtId="0" fontId="4" fillId="2" borderId="6" xfId="2" applyFont="1" applyFill="1" applyBorder="1" applyAlignment="1" applyProtection="1">
      <alignment horizontal="center" vertical="center"/>
    </xf>
    <xf numFmtId="0" fontId="23" fillId="4" borderId="0" xfId="0" applyFont="1" applyFill="1" applyProtection="1"/>
    <xf numFmtId="0" fontId="10" fillId="2" borderId="4" xfId="0" applyFont="1" applyFill="1" applyBorder="1" applyAlignment="1" applyProtection="1">
      <alignment horizontal="center" vertical="center"/>
    </xf>
    <xf numFmtId="166" fontId="9" fillId="2" borderId="5" xfId="1" applyNumberFormat="1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2" borderId="6" xfId="2" applyFont="1" applyFill="1" applyBorder="1" applyAlignment="1" applyProtection="1">
      <alignment horizontal="center" vertical="center"/>
    </xf>
    <xf numFmtId="0" fontId="10" fillId="4" borderId="0" xfId="0" applyFont="1" applyFill="1" applyAlignment="1" applyProtection="1">
      <alignment vertical="top"/>
    </xf>
    <xf numFmtId="0" fontId="9" fillId="2" borderId="3" xfId="0" applyFont="1" applyFill="1" applyBorder="1" applyAlignment="1" applyProtection="1">
      <alignment horizontal="centerContinuous"/>
    </xf>
    <xf numFmtId="0" fontId="10" fillId="2" borderId="12" xfId="0" applyFont="1" applyFill="1" applyBorder="1" applyProtection="1"/>
    <xf numFmtId="166" fontId="9" fillId="2" borderId="0" xfId="1" applyNumberFormat="1" applyFont="1" applyFill="1" applyBorder="1" applyAlignment="1" applyProtection="1">
      <alignment horizontal="center"/>
    </xf>
    <xf numFmtId="0" fontId="10" fillId="2" borderId="8" xfId="0" applyFont="1" applyFill="1" applyBorder="1" applyProtection="1"/>
    <xf numFmtId="0" fontId="9" fillId="2" borderId="11" xfId="2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9" xfId="2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2" xfId="2" applyFont="1" applyFill="1" applyBorder="1" applyAlignment="1" applyProtection="1">
      <alignment horizontal="center" vertical="center" wrapText="1"/>
    </xf>
    <xf numFmtId="0" fontId="9" fillId="2" borderId="10" xfId="2" applyFont="1" applyFill="1" applyBorder="1" applyAlignment="1" applyProtection="1">
      <alignment horizontal="center" vertical="center" wrapText="1"/>
    </xf>
    <xf numFmtId="0" fontId="9" fillId="2" borderId="4" xfId="2" applyFont="1" applyFill="1" applyBorder="1" applyAlignment="1" applyProtection="1">
      <alignment horizontal="center" vertical="center" wrapText="1"/>
    </xf>
    <xf numFmtId="0" fontId="9" fillId="2" borderId="5" xfId="2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6" xfId="2" applyFont="1" applyFill="1" applyBorder="1" applyAlignment="1" applyProtection="1">
      <alignment horizontal="center" vertical="center" wrapText="1"/>
    </xf>
    <xf numFmtId="166" fontId="9" fillId="2" borderId="4" xfId="1" applyNumberFormat="1" applyFont="1" applyFill="1" applyBorder="1" applyAlignment="1" applyProtection="1">
      <alignment horizontal="center" vertical="center" wrapText="1"/>
    </xf>
    <xf numFmtId="166" fontId="9" fillId="2" borderId="5" xfId="1" applyNumberFormat="1" applyFont="1" applyFill="1" applyBorder="1" applyAlignment="1" applyProtection="1">
      <alignment horizontal="center" vertical="center" wrapText="1"/>
    </xf>
    <xf numFmtId="166" fontId="9" fillId="2" borderId="6" xfId="1" applyNumberFormat="1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vertical="center"/>
    </xf>
    <xf numFmtId="0" fontId="10" fillId="2" borderId="5" xfId="0" applyFont="1" applyFill="1" applyBorder="1" applyAlignment="1" applyProtection="1">
      <alignment vertical="center"/>
    </xf>
    <xf numFmtId="0" fontId="10" fillId="2" borderId="6" xfId="0" applyFont="1" applyFill="1" applyBorder="1" applyProtection="1"/>
    <xf numFmtId="0" fontId="3" fillId="4" borderId="0" xfId="0" applyFont="1" applyFill="1" applyAlignment="1" applyProtection="1">
      <alignment vertical="center" wrapText="1"/>
    </xf>
    <xf numFmtId="0" fontId="0" fillId="4" borderId="0" xfId="0" applyFont="1" applyFill="1" applyProtection="1"/>
    <xf numFmtId="0" fontId="10" fillId="0" borderId="0" xfId="0" applyFont="1" applyFill="1" applyProtection="1"/>
    <xf numFmtId="0" fontId="27" fillId="4" borderId="0" xfId="0" applyFont="1" applyFill="1" applyProtection="1"/>
    <xf numFmtId="0" fontId="29" fillId="4" borderId="0" xfId="0" applyFont="1" applyFill="1" applyProtection="1"/>
    <xf numFmtId="0" fontId="29" fillId="4" borderId="0" xfId="0" applyFont="1" applyFill="1"/>
    <xf numFmtId="0" fontId="30" fillId="4" borderId="0" xfId="6" applyFont="1" applyFill="1" applyAlignment="1" applyProtection="1">
      <alignment horizontal="left" indent="7"/>
    </xf>
    <xf numFmtId="0" fontId="22" fillId="4" borderId="0" xfId="0" applyFont="1" applyFill="1" applyProtection="1"/>
    <xf numFmtId="0" fontId="26" fillId="4" borderId="0" xfId="6" applyFont="1" applyFill="1" applyAlignment="1" applyProtection="1">
      <alignment horizontal="left" indent="7"/>
    </xf>
    <xf numFmtId="0" fontId="9" fillId="0" borderId="0" xfId="0" applyFont="1" applyFill="1" applyAlignment="1" applyProtection="1">
      <alignment horizontal="right" indent="1"/>
    </xf>
    <xf numFmtId="0" fontId="9" fillId="4" borderId="0" xfId="6" applyFont="1" applyFill="1" applyAlignment="1" applyProtection="1"/>
    <xf numFmtId="4" fontId="5" fillId="6" borderId="0" xfId="1" applyNumberFormat="1" applyFont="1" applyFill="1" applyProtection="1">
      <protection locked="0"/>
    </xf>
    <xf numFmtId="0" fontId="6" fillId="2" borderId="2" xfId="0" applyFont="1" applyFill="1" applyBorder="1" applyAlignment="1" applyProtection="1">
      <alignment horizontal="center" vertical="center" wrapText="1"/>
    </xf>
    <xf numFmtId="0" fontId="9" fillId="4" borderId="0" xfId="6" applyFont="1" applyFill="1" applyAlignment="1" applyProtection="1">
      <alignment horizontal="center"/>
    </xf>
    <xf numFmtId="0" fontId="10" fillId="4" borderId="0" xfId="0" applyFont="1" applyFill="1" applyBorder="1" applyAlignment="1" applyProtection="1">
      <alignment horizontal="left" vertical="top"/>
    </xf>
    <xf numFmtId="0" fontId="9" fillId="4" borderId="0" xfId="2" applyFont="1" applyFill="1" applyBorder="1" applyAlignment="1" applyProtection="1">
      <alignment horizontal="center"/>
    </xf>
    <xf numFmtId="0" fontId="9" fillId="4" borderId="0" xfId="3" applyNumberFormat="1" applyFont="1" applyFill="1" applyBorder="1" applyAlignment="1" applyProtection="1">
      <alignment horizontal="center" vertical="center"/>
    </xf>
    <xf numFmtId="0" fontId="9" fillId="4" borderId="0" xfId="3" applyNumberFormat="1" applyFont="1" applyFill="1" applyBorder="1" applyAlignment="1" applyProtection="1">
      <alignment horizontal="center" vertical="top"/>
    </xf>
    <xf numFmtId="0" fontId="5" fillId="4" borderId="0" xfId="0" applyFont="1" applyFill="1" applyAlignment="1" applyProtection="1">
      <alignment horizontal="left" wrapText="1"/>
    </xf>
    <xf numFmtId="0" fontId="18" fillId="4" borderId="0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horizontal="left" wrapText="1"/>
    </xf>
    <xf numFmtId="4" fontId="5" fillId="6" borderId="1" xfId="1" applyNumberFormat="1" applyFont="1" applyFill="1" applyBorder="1" applyProtection="1">
      <protection locked="0"/>
    </xf>
    <xf numFmtId="4" fontId="4" fillId="6" borderId="0" xfId="1" applyNumberFormat="1" applyFont="1" applyFill="1" applyProtection="1"/>
    <xf numFmtId="164" fontId="6" fillId="2" borderId="2" xfId="0" applyNumberFormat="1" applyFont="1" applyFill="1" applyBorder="1" applyAlignment="1" applyProtection="1">
      <alignment horizontal="center" vertical="center" wrapText="1"/>
    </xf>
    <xf numFmtId="164" fontId="6" fillId="2" borderId="2" xfId="1" applyNumberFormat="1" applyFont="1" applyFill="1" applyBorder="1" applyAlignment="1" applyProtection="1">
      <alignment horizontal="center" vertical="center" wrapText="1"/>
    </xf>
    <xf numFmtId="0" fontId="10" fillId="2" borderId="4" xfId="2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right" vertical="center"/>
    </xf>
    <xf numFmtId="0" fontId="10" fillId="2" borderId="6" xfId="0" applyFont="1" applyFill="1" applyBorder="1" applyAlignment="1" applyProtection="1">
      <alignment vertical="center"/>
    </xf>
    <xf numFmtId="0" fontId="21" fillId="4" borderId="9" xfId="0" applyFont="1" applyFill="1" applyBorder="1" applyProtection="1"/>
    <xf numFmtId="0" fontId="9" fillId="4" borderId="0" xfId="0" applyFont="1" applyFill="1" applyBorder="1" applyAlignment="1" applyProtection="1">
      <alignment vertical="top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wrapText="1"/>
    </xf>
    <xf numFmtId="0" fontId="21" fillId="4" borderId="7" xfId="0" applyFont="1" applyFill="1" applyBorder="1"/>
    <xf numFmtId="0" fontId="21" fillId="4" borderId="9" xfId="0" applyFont="1" applyFill="1" applyBorder="1"/>
    <xf numFmtId="0" fontId="5" fillId="4" borderId="0" xfId="0" applyFont="1" applyFill="1"/>
    <xf numFmtId="0" fontId="4" fillId="4" borderId="0" xfId="0" applyFont="1" applyFill="1" applyAlignment="1">
      <alignment vertical="center"/>
    </xf>
    <xf numFmtId="0" fontId="4" fillId="4" borderId="0" xfId="0" applyFont="1" applyFill="1" applyBorder="1" applyAlignment="1" applyProtection="1">
      <alignment horizontal="right"/>
    </xf>
    <xf numFmtId="0" fontId="5" fillId="0" borderId="0" xfId="0" applyFont="1"/>
    <xf numFmtId="0" fontId="5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4" borderId="0" xfId="0" applyFont="1" applyFill="1" applyAlignment="1"/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0" xfId="0" applyFont="1" applyFill="1" applyBorder="1"/>
    <xf numFmtId="0" fontId="5" fillId="4" borderId="8" xfId="0" applyFont="1" applyFill="1" applyBorder="1"/>
    <xf numFmtId="0" fontId="5" fillId="0" borderId="0" xfId="0" applyFont="1" applyFill="1"/>
    <xf numFmtId="0" fontId="4" fillId="4" borderId="7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7" xfId="0" applyFont="1" applyFill="1" applyBorder="1"/>
    <xf numFmtId="0" fontId="5" fillId="4" borderId="9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wrapText="1"/>
    </xf>
    <xf numFmtId="3" fontId="5" fillId="4" borderId="7" xfId="0" applyNumberFormat="1" applyFont="1" applyFill="1" applyBorder="1"/>
    <xf numFmtId="3" fontId="5" fillId="4" borderId="0" xfId="0" applyNumberFormat="1" applyFont="1" applyFill="1" applyBorder="1"/>
    <xf numFmtId="3" fontId="5" fillId="4" borderId="8" xfId="0" applyNumberFormat="1" applyFont="1" applyFill="1" applyBorder="1"/>
    <xf numFmtId="3" fontId="4" fillId="4" borderId="7" xfId="0" applyNumberFormat="1" applyFont="1" applyFill="1" applyBorder="1" applyAlignment="1">
      <alignment wrapText="1"/>
    </xf>
    <xf numFmtId="3" fontId="4" fillId="4" borderId="7" xfId="0" applyNumberFormat="1" applyFont="1" applyFill="1" applyBorder="1" applyAlignment="1"/>
    <xf numFmtId="3" fontId="5" fillId="4" borderId="9" xfId="0" applyNumberFormat="1" applyFont="1" applyFill="1" applyBorder="1"/>
    <xf numFmtId="3" fontId="5" fillId="4" borderId="1" xfId="0" applyNumberFormat="1" applyFont="1" applyFill="1" applyBorder="1"/>
    <xf numFmtId="3" fontId="5" fillId="4" borderId="10" xfId="0" applyNumberFormat="1" applyFont="1" applyFill="1" applyBorder="1"/>
    <xf numFmtId="170" fontId="5" fillId="4" borderId="0" xfId="0" applyNumberFormat="1" applyFont="1" applyFill="1" applyBorder="1" applyAlignment="1">
      <alignment horizontal="right"/>
    </xf>
    <xf numFmtId="0" fontId="5" fillId="4" borderId="0" xfId="0" applyFont="1" applyFill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3" fontId="4" fillId="4" borderId="7" xfId="0" applyNumberFormat="1" applyFont="1" applyFill="1" applyBorder="1"/>
    <xf numFmtId="3" fontId="5" fillId="6" borderId="0" xfId="0" applyNumberFormat="1" applyFont="1" applyFill="1" applyBorder="1" applyProtection="1">
      <protection locked="0"/>
    </xf>
    <xf numFmtId="3" fontId="5" fillId="4" borderId="0" xfId="0" applyNumberFormat="1" applyFont="1" applyFill="1" applyBorder="1" applyProtection="1"/>
    <xf numFmtId="3" fontId="5" fillId="4" borderId="8" xfId="0" applyNumberFormat="1" applyFont="1" applyFill="1" applyBorder="1" applyProtection="1"/>
    <xf numFmtId="0" fontId="10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vertical="top" wrapText="1"/>
    </xf>
    <xf numFmtId="0" fontId="9" fillId="4" borderId="0" xfId="2" applyFont="1" applyFill="1" applyBorder="1" applyAlignment="1" applyProtection="1">
      <alignment horizont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center"/>
    </xf>
    <xf numFmtId="0" fontId="4" fillId="4" borderId="0" xfId="0" applyFont="1" applyFill="1" applyBorder="1"/>
    <xf numFmtId="170" fontId="4" fillId="4" borderId="0" xfId="0" applyNumberFormat="1" applyFont="1" applyFill="1" applyBorder="1" applyAlignment="1">
      <alignment horizontal="right"/>
    </xf>
    <xf numFmtId="0" fontId="4" fillId="4" borderId="0" xfId="0" applyFont="1" applyFill="1" applyBorder="1" applyAlignment="1"/>
    <xf numFmtId="0" fontId="4" fillId="4" borderId="0" xfId="0" applyFont="1" applyFill="1"/>
    <xf numFmtId="0" fontId="5" fillId="0" borderId="0" xfId="0" applyFont="1" applyAlignment="1"/>
    <xf numFmtId="0" fontId="9" fillId="4" borderId="0" xfId="2" applyFont="1" applyFill="1" applyBorder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0" fontId="10" fillId="4" borderId="1" xfId="0" applyFont="1" applyFill="1" applyBorder="1" applyAlignment="1" applyProtection="1">
      <alignment wrapText="1"/>
    </xf>
    <xf numFmtId="164" fontId="4" fillId="0" borderId="0" xfId="0" applyNumberFormat="1" applyFont="1" applyFill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0" fontId="10" fillId="5" borderId="1" xfId="0" applyFont="1" applyFill="1" applyBorder="1" applyAlignment="1" applyProtection="1">
      <alignment horizontal="center"/>
      <protection locked="0"/>
    </xf>
    <xf numFmtId="3" fontId="10" fillId="6" borderId="0" xfId="0" applyNumberFormat="1" applyFont="1" applyFill="1" applyBorder="1" applyAlignment="1" applyProtection="1">
      <alignment horizontal="right" vertical="top"/>
      <protection locked="0"/>
    </xf>
    <xf numFmtId="0" fontId="10" fillId="4" borderId="0" xfId="2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vertical="top" wrapText="1"/>
    </xf>
    <xf numFmtId="0" fontId="9" fillId="4" borderId="0" xfId="0" applyFont="1" applyFill="1" applyBorder="1" applyAlignment="1" applyProtection="1">
      <alignment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10" fillId="6" borderId="0" xfId="0" applyNumberFormat="1" applyFont="1" applyFill="1" applyBorder="1" applyAlignment="1" applyProtection="1">
      <alignment horizontal="center" vertical="top"/>
      <protection locked="0"/>
    </xf>
    <xf numFmtId="0" fontId="9" fillId="4" borderId="0" xfId="0" applyFont="1" applyFill="1" applyBorder="1" applyAlignment="1" applyProtection="1">
      <alignment horizontal="center" vertical="top"/>
      <protection locked="0"/>
    </xf>
    <xf numFmtId="3" fontId="14" fillId="4" borderId="0" xfId="0" applyNumberFormat="1" applyFont="1" applyFill="1" applyBorder="1" applyAlignment="1" applyProtection="1">
      <alignment horizontal="center" vertical="top"/>
      <protection locked="0"/>
    </xf>
    <xf numFmtId="0" fontId="5" fillId="6" borderId="0" xfId="0" applyFont="1" applyFill="1" applyBorder="1" applyAlignment="1" applyProtection="1">
      <alignment horizontal="center" vertical="top"/>
      <protection locked="0"/>
    </xf>
    <xf numFmtId="3" fontId="10" fillId="4" borderId="0" xfId="0" applyNumberFormat="1" applyFont="1" applyFill="1" applyBorder="1" applyAlignment="1" applyProtection="1">
      <alignment horizontal="center" vertical="top"/>
      <protection locked="0"/>
    </xf>
    <xf numFmtId="3" fontId="14" fillId="4" borderId="1" xfId="0" applyNumberFormat="1" applyFont="1" applyFill="1" applyBorder="1" applyAlignment="1" applyProtection="1">
      <alignment horizontal="center" vertical="top"/>
      <protection locked="0"/>
    </xf>
    <xf numFmtId="3" fontId="5" fillId="6" borderId="8" xfId="0" applyNumberFormat="1" applyFont="1" applyFill="1" applyBorder="1" applyProtection="1">
      <protection locked="0"/>
    </xf>
    <xf numFmtId="3" fontId="5" fillId="6" borderId="0" xfId="0" applyNumberFormat="1" applyFont="1" applyFill="1" applyBorder="1" applyAlignment="1" applyProtection="1">
      <alignment wrapText="1"/>
      <protection locked="0"/>
    </xf>
    <xf numFmtId="3" fontId="5" fillId="6" borderId="8" xfId="0" applyNumberFormat="1" applyFont="1" applyFill="1" applyBorder="1" applyAlignment="1" applyProtection="1">
      <alignment wrapText="1"/>
      <protection locked="0"/>
    </xf>
    <xf numFmtId="171" fontId="21" fillId="6" borderId="0" xfId="0" applyNumberFormat="1" applyFont="1" applyFill="1" applyBorder="1" applyProtection="1">
      <protection locked="0"/>
    </xf>
    <xf numFmtId="171" fontId="21" fillId="6" borderId="8" xfId="0" applyNumberFormat="1" applyFont="1" applyFill="1" applyBorder="1" applyProtection="1">
      <protection locked="0"/>
    </xf>
    <xf numFmtId="171" fontId="21" fillId="6" borderId="1" xfId="0" applyNumberFormat="1" applyFont="1" applyFill="1" applyBorder="1" applyProtection="1">
      <protection locked="0"/>
    </xf>
    <xf numFmtId="171" fontId="21" fillId="6" borderId="10" xfId="0" applyNumberFormat="1" applyFont="1" applyFill="1" applyBorder="1" applyProtection="1">
      <protection locked="0"/>
    </xf>
    <xf numFmtId="0" fontId="32" fillId="2" borderId="5" xfId="0" applyFont="1" applyFill="1" applyBorder="1" applyAlignment="1">
      <alignment horizontal="center" wrapText="1"/>
    </xf>
    <xf numFmtId="0" fontId="32" fillId="2" borderId="5" xfId="0" applyFont="1" applyFill="1" applyBorder="1" applyAlignment="1">
      <alignment horizontal="center" vertical="center"/>
    </xf>
    <xf numFmtId="170" fontId="5" fillId="6" borderId="0" xfId="0" applyNumberFormat="1" applyFont="1" applyFill="1" applyBorder="1" applyAlignment="1" applyProtection="1">
      <alignment horizontal="right"/>
      <protection locked="0"/>
    </xf>
    <xf numFmtId="0" fontId="10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center" vertical="top"/>
    </xf>
    <xf numFmtId="0" fontId="4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left" vertical="top" wrapText="1"/>
    </xf>
    <xf numFmtId="0" fontId="9" fillId="4" borderId="0" xfId="0" applyFont="1" applyFill="1" applyBorder="1" applyAlignment="1" applyProtection="1">
      <alignment vertical="top" wrapText="1"/>
    </xf>
    <xf numFmtId="0" fontId="9" fillId="4" borderId="0" xfId="2" applyFont="1" applyFill="1" applyBorder="1" applyAlignment="1" applyProtection="1">
      <alignment horizontal="center"/>
    </xf>
    <xf numFmtId="0" fontId="4" fillId="2" borderId="5" xfId="2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top" wrapText="1"/>
    </xf>
    <xf numFmtId="0" fontId="14" fillId="4" borderId="0" xfId="0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center"/>
    </xf>
    <xf numFmtId="0" fontId="9" fillId="4" borderId="0" xfId="3" applyNumberFormat="1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left" vertical="top" wrapText="1"/>
    </xf>
    <xf numFmtId="0" fontId="9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left" vertical="top"/>
    </xf>
    <xf numFmtId="0" fontId="9" fillId="2" borderId="3" xfId="2" applyFont="1" applyFill="1" applyBorder="1" applyAlignment="1" applyProtection="1">
      <alignment horizontal="center" vertical="center" wrapText="1"/>
    </xf>
    <xf numFmtId="0" fontId="9" fillId="2" borderId="1" xfId="2" applyFont="1" applyFill="1" applyBorder="1" applyAlignment="1" applyProtection="1">
      <alignment horizontal="center" vertical="center" wrapText="1"/>
    </xf>
    <xf numFmtId="0" fontId="9" fillId="4" borderId="0" xfId="3" applyNumberFormat="1" applyFont="1" applyFill="1" applyBorder="1" applyAlignment="1" applyProtection="1">
      <alignment horizontal="center" vertical="top"/>
    </xf>
    <xf numFmtId="0" fontId="9" fillId="4" borderId="0" xfId="0" applyFont="1" applyFill="1" applyBorder="1" applyAlignment="1" applyProtection="1">
      <alignment horizontal="left" vertical="top"/>
    </xf>
    <xf numFmtId="0" fontId="5" fillId="4" borderId="0" xfId="0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168" fontId="4" fillId="4" borderId="0" xfId="0" applyNumberFormat="1" applyFont="1" applyFill="1" applyBorder="1" applyAlignment="1" applyProtection="1">
      <alignment horizontal="right"/>
    </xf>
    <xf numFmtId="4" fontId="5" fillId="0" borderId="0" xfId="1" applyNumberFormat="1" applyFont="1" applyFill="1" applyProtection="1">
      <protection locked="0"/>
    </xf>
    <xf numFmtId="3" fontId="4" fillId="4" borderId="0" xfId="0" applyNumberFormat="1" applyFont="1" applyFill="1" applyBorder="1" applyAlignment="1" applyProtection="1">
      <alignment vertical="top"/>
    </xf>
    <xf numFmtId="0" fontId="10" fillId="4" borderId="0" xfId="0" applyNumberFormat="1" applyFont="1" applyFill="1" applyBorder="1" applyAlignment="1" applyProtection="1">
      <alignment horizontal="right" vertical="top"/>
    </xf>
    <xf numFmtId="3" fontId="14" fillId="4" borderId="0" xfId="0" applyNumberFormat="1" applyFont="1" applyFill="1" applyBorder="1" applyAlignment="1" applyProtection="1">
      <alignment horizontal="right" vertical="top"/>
    </xf>
    <xf numFmtId="3" fontId="14" fillId="4" borderId="1" xfId="0" applyNumberFormat="1" applyFont="1" applyFill="1" applyBorder="1" applyAlignment="1" applyProtection="1">
      <alignment horizontal="right" vertical="top"/>
    </xf>
    <xf numFmtId="0" fontId="4" fillId="4" borderId="0" xfId="0" applyFont="1" applyFill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wrapText="1"/>
    </xf>
    <xf numFmtId="0" fontId="4" fillId="2" borderId="6" xfId="0" applyFont="1" applyFill="1" applyBorder="1" applyAlignment="1" applyProtection="1">
      <alignment horizontal="center" wrapText="1"/>
    </xf>
    <xf numFmtId="0" fontId="5" fillId="4" borderId="7" xfId="0" applyFont="1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wrapText="1"/>
    </xf>
    <xf numFmtId="169" fontId="5" fillId="4" borderId="0" xfId="0" applyNumberFormat="1" applyFont="1" applyFill="1" applyBorder="1" applyAlignment="1" applyProtection="1">
      <alignment wrapText="1"/>
    </xf>
    <xf numFmtId="0" fontId="4" fillId="4" borderId="0" xfId="0" applyFont="1" applyFill="1" applyBorder="1" applyAlignment="1" applyProtection="1">
      <alignment wrapText="1"/>
    </xf>
    <xf numFmtId="0" fontId="5" fillId="4" borderId="8" xfId="0" applyFont="1" applyFill="1" applyBorder="1" applyAlignment="1" applyProtection="1">
      <alignment wrapText="1"/>
    </xf>
    <xf numFmtId="168" fontId="18" fillId="4" borderId="7" xfId="0" applyNumberFormat="1" applyFont="1" applyFill="1" applyBorder="1" applyAlignment="1" applyProtection="1">
      <alignment vertical="center"/>
    </xf>
    <xf numFmtId="168" fontId="5" fillId="4" borderId="0" xfId="0" applyNumberFormat="1" applyFont="1" applyFill="1" applyBorder="1" applyAlignment="1" applyProtection="1">
      <alignment vertical="center" wrapText="1"/>
    </xf>
    <xf numFmtId="168" fontId="18" fillId="4" borderId="0" xfId="0" applyNumberFormat="1" applyFont="1" applyFill="1" applyBorder="1" applyAlignment="1" applyProtection="1">
      <alignment vertical="center"/>
    </xf>
    <xf numFmtId="168" fontId="5" fillId="4" borderId="8" xfId="0" applyNumberFormat="1" applyFont="1" applyFill="1" applyBorder="1" applyAlignment="1" applyProtection="1">
      <alignment vertical="center" wrapText="1"/>
    </xf>
    <xf numFmtId="168" fontId="4" fillId="4" borderId="7" xfId="0" applyNumberFormat="1" applyFont="1" applyFill="1" applyBorder="1" applyAlignment="1" applyProtection="1">
      <alignment wrapText="1"/>
    </xf>
    <xf numFmtId="168" fontId="4" fillId="4" borderId="0" xfId="1" applyNumberFormat="1" applyFont="1" applyFill="1" applyBorder="1" applyAlignment="1" applyProtection="1">
      <alignment vertical="top"/>
    </xf>
    <xf numFmtId="168" fontId="4" fillId="4" borderId="0" xfId="0" applyNumberFormat="1" applyFont="1" applyFill="1" applyBorder="1" applyAlignment="1" applyProtection="1">
      <alignment wrapText="1"/>
    </xf>
    <xf numFmtId="168" fontId="4" fillId="4" borderId="8" xfId="0" applyNumberFormat="1" applyFont="1" applyFill="1" applyBorder="1" applyAlignment="1" applyProtection="1">
      <alignment wrapText="1"/>
    </xf>
    <xf numFmtId="168" fontId="5" fillId="4" borderId="7" xfId="0" applyNumberFormat="1" applyFont="1" applyFill="1" applyBorder="1" applyAlignment="1" applyProtection="1">
      <alignment vertical="center"/>
    </xf>
    <xf numFmtId="168" fontId="5" fillId="4" borderId="0" xfId="0" applyNumberFormat="1" applyFont="1" applyFill="1" applyBorder="1" applyProtection="1"/>
    <xf numFmtId="168" fontId="5" fillId="4" borderId="8" xfId="0" applyNumberFormat="1" applyFont="1" applyFill="1" applyBorder="1" applyProtection="1"/>
    <xf numFmtId="168" fontId="5" fillId="4" borderId="7" xfId="0" applyNumberFormat="1" applyFont="1" applyFill="1" applyBorder="1" applyAlignment="1" applyProtection="1">
      <alignment vertical="center" wrapText="1"/>
    </xf>
    <xf numFmtId="168" fontId="4" fillId="4" borderId="7" xfId="0" applyNumberFormat="1" applyFont="1" applyFill="1" applyBorder="1" applyAlignment="1" applyProtection="1">
      <alignment vertical="center" wrapText="1"/>
    </xf>
    <xf numFmtId="168" fontId="4" fillId="4" borderId="0" xfId="0" applyNumberFormat="1" applyFont="1" applyFill="1" applyBorder="1" applyAlignment="1" applyProtection="1">
      <alignment vertical="center" wrapText="1"/>
    </xf>
    <xf numFmtId="168" fontId="4" fillId="4" borderId="8" xfId="0" applyNumberFormat="1" applyFont="1" applyFill="1" applyBorder="1" applyAlignment="1" applyProtection="1">
      <alignment vertical="center" wrapText="1"/>
    </xf>
    <xf numFmtId="168" fontId="5" fillId="4" borderId="9" xfId="0" applyNumberFormat="1" applyFont="1" applyFill="1" applyBorder="1" applyAlignment="1" applyProtection="1">
      <alignment vertical="center"/>
    </xf>
    <xf numFmtId="168" fontId="5" fillId="4" borderId="1" xfId="0" applyNumberFormat="1" applyFont="1" applyFill="1" applyBorder="1" applyAlignment="1" applyProtection="1">
      <alignment vertical="center" wrapText="1"/>
    </xf>
    <xf numFmtId="168" fontId="5" fillId="4" borderId="1" xfId="0" applyNumberFormat="1" applyFont="1" applyFill="1" applyBorder="1" applyAlignment="1" applyProtection="1">
      <alignment vertical="center"/>
    </xf>
    <xf numFmtId="168" fontId="5" fillId="4" borderId="10" xfId="0" applyNumberFormat="1" applyFont="1" applyFill="1" applyBorder="1" applyAlignment="1" applyProtection="1">
      <alignment vertical="center" wrapText="1"/>
    </xf>
    <xf numFmtId="168" fontId="5" fillId="4" borderId="0" xfId="0" applyNumberFormat="1" applyFont="1" applyFill="1" applyBorder="1" applyAlignment="1" applyProtection="1">
      <alignment vertical="center"/>
    </xf>
    <xf numFmtId="168" fontId="5" fillId="0" borderId="0" xfId="0" applyNumberFormat="1" applyFont="1" applyProtection="1"/>
    <xf numFmtId="168" fontId="5" fillId="4" borderId="0" xfId="0" applyNumberFormat="1" applyFont="1" applyFill="1" applyAlignment="1" applyProtection="1"/>
    <xf numFmtId="168" fontId="4" fillId="2" borderId="4" xfId="0" applyNumberFormat="1" applyFont="1" applyFill="1" applyBorder="1" applyAlignment="1" applyProtection="1">
      <alignment horizontal="center" vertical="center"/>
    </xf>
    <xf numFmtId="168" fontId="4" fillId="2" borderId="5" xfId="0" applyNumberFormat="1" applyFont="1" applyFill="1" applyBorder="1" applyAlignment="1" applyProtection="1">
      <alignment horizontal="center" vertical="center"/>
    </xf>
    <xf numFmtId="168" fontId="4" fillId="2" borderId="5" xfId="0" applyNumberFormat="1" applyFont="1" applyFill="1" applyBorder="1" applyAlignment="1" applyProtection="1">
      <alignment horizontal="center" wrapText="1"/>
    </xf>
    <xf numFmtId="168" fontId="5" fillId="4" borderId="0" xfId="0" applyNumberFormat="1" applyFont="1" applyFill="1" applyBorder="1" applyAlignment="1" applyProtection="1">
      <alignment wrapText="1"/>
    </xf>
    <xf numFmtId="168" fontId="5" fillId="4" borderId="12" xfId="0" applyNumberFormat="1" applyFont="1" applyFill="1" applyBorder="1" applyProtection="1"/>
    <xf numFmtId="168" fontId="4" fillId="4" borderId="7" xfId="0" applyNumberFormat="1" applyFont="1" applyFill="1" applyBorder="1" applyAlignment="1" applyProtection="1">
      <alignment vertical="center"/>
    </xf>
    <xf numFmtId="168" fontId="4" fillId="4" borderId="0" xfId="0" applyNumberFormat="1" applyFont="1" applyFill="1" applyBorder="1" applyAlignment="1" applyProtection="1">
      <alignment vertical="center"/>
    </xf>
    <xf numFmtId="168" fontId="18" fillId="4" borderId="7" xfId="0" applyNumberFormat="1" applyFont="1" applyFill="1" applyBorder="1" applyAlignment="1" applyProtection="1">
      <alignment wrapText="1"/>
    </xf>
    <xf numFmtId="168" fontId="18" fillId="4" borderId="0" xfId="0" applyNumberFormat="1" applyFont="1" applyFill="1" applyBorder="1" applyAlignment="1" applyProtection="1">
      <alignment wrapText="1"/>
    </xf>
    <xf numFmtId="168" fontId="4" fillId="4" borderId="0" xfId="0" applyNumberFormat="1" applyFont="1" applyFill="1" applyBorder="1" applyAlignment="1" applyProtection="1"/>
    <xf numFmtId="168" fontId="5" fillId="4" borderId="0" xfId="0" applyNumberFormat="1" applyFont="1" applyFill="1" applyBorder="1" applyAlignment="1" applyProtection="1"/>
    <xf numFmtId="168" fontId="5" fillId="4" borderId="7" xfId="0" applyNumberFormat="1" applyFont="1" applyFill="1" applyBorder="1" applyAlignment="1" applyProtection="1">
      <alignment wrapText="1"/>
    </xf>
    <xf numFmtId="168" fontId="5" fillId="4" borderId="8" xfId="0" applyNumberFormat="1" applyFont="1" applyFill="1" applyBorder="1" applyAlignment="1" applyProtection="1"/>
    <xf numFmtId="170" fontId="5" fillId="4" borderId="7" xfId="0" applyNumberFormat="1" applyFont="1" applyFill="1" applyBorder="1" applyAlignment="1" applyProtection="1">
      <alignment vertical="center"/>
    </xf>
    <xf numFmtId="170" fontId="5" fillId="4" borderId="0" xfId="0" applyNumberFormat="1" applyFont="1" applyFill="1" applyBorder="1" applyAlignment="1" applyProtection="1"/>
    <xf numFmtId="170" fontId="5" fillId="4" borderId="8" xfId="0" applyNumberFormat="1" applyFont="1" applyFill="1" applyBorder="1" applyAlignment="1" applyProtection="1"/>
    <xf numFmtId="170" fontId="5" fillId="4" borderId="9" xfId="0" applyNumberFormat="1" applyFont="1" applyFill="1" applyBorder="1" applyAlignment="1" applyProtection="1">
      <alignment vertical="center"/>
    </xf>
    <xf numFmtId="170" fontId="5" fillId="4" borderId="1" xfId="0" applyNumberFormat="1" applyFont="1" applyFill="1" applyBorder="1" applyProtection="1"/>
    <xf numFmtId="170" fontId="5" fillId="4" borderId="10" xfId="0" applyNumberFormat="1" applyFont="1" applyFill="1" applyBorder="1" applyProtection="1"/>
    <xf numFmtId="3" fontId="4" fillId="4" borderId="0" xfId="0" applyNumberFormat="1" applyFont="1" applyFill="1" applyBorder="1" applyAlignment="1" applyProtection="1">
      <alignment wrapText="1"/>
    </xf>
    <xf numFmtId="3" fontId="4" fillId="4" borderId="8" xfId="0" applyNumberFormat="1" applyFont="1" applyFill="1" applyBorder="1" applyAlignment="1" applyProtection="1">
      <alignment wrapText="1"/>
    </xf>
    <xf numFmtId="3" fontId="4" fillId="4" borderId="0" xfId="0" applyNumberFormat="1" applyFont="1" applyFill="1" applyBorder="1" applyProtection="1"/>
    <xf numFmtId="3" fontId="4" fillId="4" borderId="8" xfId="0" applyNumberFormat="1" applyFont="1" applyFill="1" applyBorder="1" applyProtection="1"/>
    <xf numFmtId="0" fontId="21" fillId="4" borderId="0" xfId="0" applyFont="1" applyFill="1" applyBorder="1" applyProtection="1"/>
    <xf numFmtId="0" fontId="21" fillId="4" borderId="8" xfId="0" applyFont="1" applyFill="1" applyBorder="1" applyProtection="1"/>
    <xf numFmtId="171" fontId="32" fillId="4" borderId="0" xfId="0" applyNumberFormat="1" applyFont="1" applyFill="1" applyBorder="1" applyAlignment="1" applyProtection="1">
      <alignment horizontal="center" wrapText="1"/>
    </xf>
    <xf numFmtId="171" fontId="32" fillId="4" borderId="8" xfId="0" applyNumberFormat="1" applyFont="1" applyFill="1" applyBorder="1" applyAlignment="1" applyProtection="1">
      <alignment horizontal="center" wrapText="1"/>
    </xf>
    <xf numFmtId="171" fontId="21" fillId="4" borderId="0" xfId="0" applyNumberFormat="1" applyFont="1" applyFill="1" applyBorder="1" applyProtection="1"/>
    <xf numFmtId="171" fontId="21" fillId="4" borderId="8" xfId="0" applyNumberFormat="1" applyFont="1" applyFill="1" applyBorder="1" applyProtection="1"/>
    <xf numFmtId="170" fontId="4" fillId="4" borderId="0" xfId="0" applyNumberFormat="1" applyFont="1" applyFill="1" applyBorder="1" applyAlignment="1" applyProtection="1">
      <alignment horizontal="right" wrapText="1"/>
    </xf>
    <xf numFmtId="170" fontId="4" fillId="4" borderId="8" xfId="0" applyNumberFormat="1" applyFont="1" applyFill="1" applyBorder="1" applyAlignment="1" applyProtection="1">
      <alignment horizontal="right" wrapText="1"/>
    </xf>
    <xf numFmtId="170" fontId="5" fillId="4" borderId="8" xfId="0" applyNumberFormat="1" applyFont="1" applyFill="1" applyBorder="1" applyAlignment="1" applyProtection="1">
      <alignment horizontal="right"/>
    </xf>
    <xf numFmtId="170" fontId="5" fillId="4" borderId="0" xfId="0" applyNumberFormat="1" applyFont="1" applyFill="1" applyBorder="1" applyAlignment="1" applyProtection="1">
      <alignment horizontal="right"/>
    </xf>
    <xf numFmtId="170" fontId="5" fillId="4" borderId="1" xfId="0" applyNumberFormat="1" applyFont="1" applyFill="1" applyBorder="1" applyAlignment="1" applyProtection="1">
      <alignment horizontal="right"/>
    </xf>
    <xf numFmtId="170" fontId="5" fillId="4" borderId="10" xfId="0" applyNumberFormat="1" applyFont="1" applyFill="1" applyBorder="1" applyAlignment="1" applyProtection="1">
      <alignment horizontal="right"/>
    </xf>
    <xf numFmtId="164" fontId="4" fillId="0" borderId="0" xfId="0" applyNumberFormat="1" applyFont="1" applyFill="1" applyAlignment="1" applyProtection="1">
      <alignment horizontal="center"/>
    </xf>
    <xf numFmtId="17" fontId="10" fillId="0" borderId="0" xfId="0" applyNumberFormat="1" applyFont="1" applyFill="1" applyProtection="1"/>
    <xf numFmtId="172" fontId="0" fillId="0" borderId="0" xfId="0" applyNumberFormat="1"/>
    <xf numFmtId="0" fontId="4" fillId="2" borderId="5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Protection="1">
      <protection locked="0"/>
    </xf>
    <xf numFmtId="43" fontId="5" fillId="4" borderId="0" xfId="1" applyFont="1" applyFill="1" applyProtection="1"/>
    <xf numFmtId="3" fontId="4" fillId="0" borderId="0" xfId="0" applyNumberFormat="1" applyFont="1" applyFill="1" applyBorder="1" applyAlignment="1" applyProtection="1">
      <alignment horizontal="right" vertical="top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3" fontId="4" fillId="0" borderId="13" xfId="0" applyNumberFormat="1" applyFont="1" applyFill="1" applyBorder="1" applyAlignment="1" applyProtection="1">
      <alignment horizontal="right" vertical="top"/>
      <protection locked="0"/>
    </xf>
    <xf numFmtId="3" fontId="16" fillId="4" borderId="0" xfId="0" applyNumberFormat="1" applyFont="1" applyFill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ont="1" applyFill="1"/>
    <xf numFmtId="169" fontId="36" fillId="5" borderId="0" xfId="1" applyNumberFormat="1" applyFont="1" applyFill="1" applyAlignment="1">
      <alignment horizontal="center"/>
    </xf>
    <xf numFmtId="169" fontId="0" fillId="4" borderId="0" xfId="1" applyNumberFormat="1" applyFont="1" applyFill="1" applyAlignment="1">
      <alignment horizontal="center"/>
    </xf>
    <xf numFmtId="169" fontId="0" fillId="5" borderId="3" xfId="1" applyNumberFormat="1" applyFont="1" applyFill="1" applyBorder="1" applyAlignment="1">
      <alignment horizontal="center"/>
    </xf>
    <xf numFmtId="0" fontId="0" fillId="4" borderId="0" xfId="0" applyFont="1" applyFill="1" applyAlignment="1">
      <alignment horizontal="center"/>
    </xf>
    <xf numFmtId="4" fontId="0" fillId="4" borderId="0" xfId="0" applyNumberFormat="1" applyFont="1" applyFill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Alignment="1"/>
    <xf numFmtId="0" fontId="4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center" vertical="center" wrapText="1"/>
    </xf>
    <xf numFmtId="0" fontId="9" fillId="4" borderId="0" xfId="2" applyFont="1" applyFill="1" applyBorder="1" applyAlignment="1" applyProtection="1">
      <alignment horizont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4" borderId="0" xfId="2" applyFont="1" applyFill="1" applyBorder="1" applyAlignment="1" applyProtection="1">
      <alignment horizontal="left" vertical="top"/>
    </xf>
    <xf numFmtId="0" fontId="10" fillId="4" borderId="0" xfId="2" applyFont="1" applyFill="1" applyBorder="1" applyAlignment="1" applyProtection="1">
      <alignment horizontal="left" vertical="top"/>
    </xf>
    <xf numFmtId="0" fontId="5" fillId="4" borderId="0" xfId="0" applyFont="1" applyFill="1" applyBorder="1" applyAlignment="1" applyProtection="1">
      <alignment horizontal="left" vertical="top"/>
    </xf>
    <xf numFmtId="0" fontId="4" fillId="7" borderId="7" xfId="0" applyFont="1" applyFill="1" applyBorder="1" applyAlignment="1" applyProtection="1">
      <alignment vertical="center" wrapText="1"/>
      <protection locked="0"/>
    </xf>
    <xf numFmtId="0" fontId="4" fillId="7" borderId="0" xfId="0" applyFont="1" applyFill="1" applyBorder="1" applyAlignment="1" applyProtection="1">
      <alignment vertical="center" wrapText="1"/>
      <protection locked="0"/>
    </xf>
    <xf numFmtId="0" fontId="4" fillId="7" borderId="8" xfId="0" applyFont="1" applyFill="1" applyBorder="1" applyAlignment="1" applyProtection="1">
      <alignment vertical="center" wrapText="1"/>
      <protection locked="0"/>
    </xf>
    <xf numFmtId="0" fontId="4" fillId="7" borderId="9" xfId="0" applyFont="1" applyFill="1" applyBorder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vertical="center" wrapText="1"/>
      <protection locked="0"/>
    </xf>
    <xf numFmtId="0" fontId="4" fillId="7" borderId="10" xfId="0" applyFont="1" applyFill="1" applyBorder="1" applyAlignment="1" applyProtection="1">
      <alignment vertical="center" wrapText="1"/>
      <protection locked="0"/>
    </xf>
    <xf numFmtId="169" fontId="36" fillId="4" borderId="0" xfId="1" applyNumberFormat="1" applyFont="1" applyFill="1" applyAlignment="1">
      <alignment horizontal="center"/>
    </xf>
    <xf numFmtId="169" fontId="0" fillId="4" borderId="0" xfId="1" applyNumberFormat="1" applyFont="1" applyFill="1" applyBorder="1" applyAlignment="1">
      <alignment horizontal="center"/>
    </xf>
    <xf numFmtId="3" fontId="9" fillId="4" borderId="0" xfId="2" applyNumberFormat="1" applyFont="1" applyFill="1" applyBorder="1" applyAlignment="1" applyProtection="1">
      <alignment vertical="top"/>
    </xf>
    <xf numFmtId="3" fontId="10" fillId="0" borderId="0" xfId="0" applyNumberFormat="1" applyFont="1" applyFill="1" applyBorder="1" applyAlignment="1" applyProtection="1">
      <alignment horizontal="right" vertical="top"/>
    </xf>
    <xf numFmtId="0" fontId="9" fillId="4" borderId="0" xfId="0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horizontal="left" vertical="top" wrapText="1"/>
    </xf>
    <xf numFmtId="3" fontId="4" fillId="0" borderId="0" xfId="0" applyNumberFormat="1" applyFont="1" applyFill="1" applyBorder="1" applyAlignment="1" applyProtection="1">
      <alignment horizontal="right" vertical="top"/>
    </xf>
    <xf numFmtId="3" fontId="5" fillId="0" borderId="0" xfId="0" applyNumberFormat="1" applyFont="1" applyFill="1" applyBorder="1" applyAlignment="1" applyProtection="1">
      <alignment horizontal="right" vertical="top"/>
    </xf>
    <xf numFmtId="3" fontId="4" fillId="0" borderId="13" xfId="0" applyNumberFormat="1" applyFont="1" applyFill="1" applyBorder="1" applyAlignment="1" applyProtection="1">
      <alignment horizontal="right" vertical="top"/>
    </xf>
    <xf numFmtId="3" fontId="4" fillId="0" borderId="1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Border="1"/>
    <xf numFmtId="4" fontId="5" fillId="9" borderId="0" xfId="1" applyNumberFormat="1" applyFont="1" applyFill="1" applyProtection="1">
      <protection locked="0"/>
    </xf>
    <xf numFmtId="0" fontId="30" fillId="2" borderId="0" xfId="0" applyFont="1" applyFill="1" applyAlignment="1" applyProtection="1">
      <alignment horizontal="center"/>
    </xf>
    <xf numFmtId="0" fontId="2" fillId="4" borderId="0" xfId="0" applyFont="1" applyFill="1" applyAlignment="1" applyProtection="1">
      <alignment horizontal="center"/>
    </xf>
    <xf numFmtId="0" fontId="28" fillId="4" borderId="0" xfId="0" applyFont="1" applyFill="1" applyAlignment="1" applyProtection="1">
      <alignment horizontal="center"/>
    </xf>
    <xf numFmtId="0" fontId="31" fillId="4" borderId="0" xfId="6" applyFont="1" applyFill="1" applyAlignment="1" applyProtection="1">
      <alignment horizontal="center"/>
      <protection locked="0"/>
    </xf>
    <xf numFmtId="0" fontId="24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4" borderId="0" xfId="6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 vertical="center"/>
    </xf>
    <xf numFmtId="164" fontId="4" fillId="0" borderId="0" xfId="0" applyNumberFormat="1" applyFont="1" applyFill="1" applyAlignment="1" applyProtection="1">
      <alignment horizontal="center"/>
    </xf>
    <xf numFmtId="0" fontId="9" fillId="4" borderId="0" xfId="0" applyFont="1" applyFill="1" applyBorder="1" applyAlignment="1" applyProtection="1">
      <alignment horizontal="left" vertical="top" wrapText="1"/>
    </xf>
    <xf numFmtId="0" fontId="10" fillId="4" borderId="0" xfId="0" applyFont="1" applyFill="1" applyBorder="1" applyAlignment="1" applyProtection="1">
      <alignment horizontal="left" vertical="top" wrapText="1"/>
    </xf>
    <xf numFmtId="0" fontId="10" fillId="4" borderId="0" xfId="0" applyFont="1" applyFill="1" applyBorder="1" applyAlignment="1" applyProtection="1">
      <alignment horizontal="justify" vertical="top" wrapText="1"/>
    </xf>
    <xf numFmtId="0" fontId="4" fillId="0" borderId="3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top" wrapText="1"/>
    </xf>
    <xf numFmtId="0" fontId="14" fillId="4" borderId="0" xfId="0" applyFont="1" applyFill="1" applyBorder="1" applyAlignment="1" applyProtection="1">
      <alignment horizontal="left" vertical="top" wrapText="1"/>
    </xf>
    <xf numFmtId="0" fontId="14" fillId="4" borderId="0" xfId="0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horizontal="left" vertical="top"/>
    </xf>
    <xf numFmtId="0" fontId="10" fillId="4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vertical="top" wrapText="1"/>
    </xf>
    <xf numFmtId="0" fontId="9" fillId="4" borderId="0" xfId="6" applyFont="1" applyFill="1" applyAlignment="1" applyProtection="1">
      <alignment horizontal="center"/>
      <protection locked="0"/>
    </xf>
    <xf numFmtId="0" fontId="9" fillId="4" borderId="0" xfId="2" applyFont="1" applyFill="1" applyBorder="1" applyAlignment="1" applyProtection="1">
      <alignment horizontal="center"/>
    </xf>
    <xf numFmtId="0" fontId="4" fillId="2" borderId="5" xfId="2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/>
    </xf>
    <xf numFmtId="0" fontId="9" fillId="4" borderId="0" xfId="3" applyNumberFormat="1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center" vertical="top"/>
    </xf>
    <xf numFmtId="0" fontId="4" fillId="4" borderId="0" xfId="0" applyFont="1" applyFill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/>
    </xf>
    <xf numFmtId="168" fontId="4" fillId="4" borderId="1" xfId="0" applyNumberFormat="1" applyFont="1" applyFill="1" applyBorder="1" applyAlignment="1" applyProtection="1">
      <alignment horizontal="center"/>
    </xf>
    <xf numFmtId="168" fontId="4" fillId="4" borderId="0" xfId="0" applyNumberFormat="1" applyFont="1" applyFill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left" vertical="top" wrapText="1"/>
    </xf>
    <xf numFmtId="0" fontId="9" fillId="4" borderId="1" xfId="0" applyFont="1" applyFill="1" applyBorder="1" applyAlignment="1" applyProtection="1">
      <alignment horizontal="left" vertical="top"/>
    </xf>
    <xf numFmtId="0" fontId="9" fillId="4" borderId="13" xfId="0" applyFont="1" applyFill="1" applyBorder="1" applyAlignment="1" applyProtection="1">
      <alignment horizontal="left" vertical="top"/>
    </xf>
    <xf numFmtId="0" fontId="10" fillId="4" borderId="1" xfId="0" applyFont="1" applyFill="1" applyBorder="1" applyAlignment="1" applyProtection="1">
      <alignment horizontal="left" vertical="top" wrapText="1"/>
    </xf>
    <xf numFmtId="0" fontId="10" fillId="4" borderId="0" xfId="2" applyFont="1" applyFill="1" applyBorder="1" applyAlignment="1" applyProtection="1">
      <alignment horizontal="left" vertical="top" wrapText="1"/>
    </xf>
    <xf numFmtId="0" fontId="9" fillId="4" borderId="0" xfId="2" applyFont="1" applyFill="1" applyBorder="1" applyAlignment="1" applyProtection="1">
      <alignment horizontal="left" vertical="top" wrapText="1"/>
    </xf>
    <xf numFmtId="0" fontId="9" fillId="4" borderId="0" xfId="2" applyFont="1" applyFill="1" applyBorder="1" applyAlignment="1" applyProtection="1">
      <alignment horizontal="left" vertical="top"/>
    </xf>
    <xf numFmtId="43" fontId="10" fillId="4" borderId="1" xfId="1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/>
    </xf>
    <xf numFmtId="0" fontId="10" fillId="4" borderId="0" xfId="2" applyFont="1" applyFill="1" applyBorder="1" applyAlignment="1" applyProtection="1">
      <alignment horizontal="left" vertical="top"/>
    </xf>
    <xf numFmtId="0" fontId="9" fillId="2" borderId="5" xfId="0" applyFont="1" applyFill="1" applyBorder="1" applyAlignment="1" applyProtection="1">
      <alignment horizontal="center" vertical="center"/>
    </xf>
    <xf numFmtId="0" fontId="9" fillId="4" borderId="0" xfId="6" applyFont="1" applyFill="1" applyAlignment="1" applyProtection="1">
      <alignment horizontal="center"/>
    </xf>
    <xf numFmtId="0" fontId="9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left" vertical="top"/>
    </xf>
    <xf numFmtId="0" fontId="5" fillId="4" borderId="9" xfId="0" applyFont="1" applyFill="1" applyBorder="1" applyAlignment="1" applyProtection="1">
      <alignment horizontal="center" vertical="top"/>
    </xf>
    <xf numFmtId="0" fontId="5" fillId="4" borderId="1" xfId="0" applyFont="1" applyFill="1" applyBorder="1" applyAlignment="1" applyProtection="1">
      <alignment horizontal="center" vertical="top"/>
    </xf>
    <xf numFmtId="0" fontId="5" fillId="4" borderId="10" xfId="0" applyFont="1" applyFill="1" applyBorder="1" applyAlignment="1" applyProtection="1">
      <alignment horizontal="center" vertical="top"/>
    </xf>
    <xf numFmtId="0" fontId="10" fillId="4" borderId="1" xfId="0" applyFont="1" applyFill="1" applyBorder="1" applyAlignment="1" applyProtection="1">
      <alignment horizontal="center" vertical="top"/>
    </xf>
    <xf numFmtId="0" fontId="4" fillId="4" borderId="0" xfId="0" applyFont="1" applyFill="1" applyBorder="1" applyAlignment="1" applyProtection="1">
      <alignment horizontal="left" vertical="top"/>
    </xf>
    <xf numFmtId="0" fontId="9" fillId="2" borderId="3" xfId="2" applyFont="1" applyFill="1" applyBorder="1" applyAlignment="1" applyProtection="1">
      <alignment horizontal="center" vertical="center" wrapText="1"/>
    </xf>
    <xf numFmtId="0" fontId="9" fillId="2" borderId="1" xfId="2" applyFont="1" applyFill="1" applyBorder="1" applyAlignment="1" applyProtection="1">
      <alignment horizontal="center" vertical="center" wrapText="1"/>
    </xf>
    <xf numFmtId="0" fontId="9" fillId="4" borderId="7" xfId="3" applyNumberFormat="1" applyFont="1" applyFill="1" applyBorder="1" applyAlignment="1" applyProtection="1">
      <alignment horizontal="center" vertical="center"/>
    </xf>
    <xf numFmtId="0" fontId="9" fillId="4" borderId="8" xfId="3" applyNumberFormat="1" applyFont="1" applyFill="1" applyBorder="1" applyAlignment="1" applyProtection="1">
      <alignment horizontal="center" vertical="center"/>
    </xf>
    <xf numFmtId="0" fontId="9" fillId="4" borderId="7" xfId="3" applyNumberFormat="1" applyFont="1" applyFill="1" applyBorder="1" applyAlignment="1" applyProtection="1">
      <alignment horizontal="center" vertical="top"/>
    </xf>
    <xf numFmtId="0" fontId="9" fillId="4" borderId="0" xfId="3" applyNumberFormat="1" applyFont="1" applyFill="1" applyBorder="1" applyAlignment="1" applyProtection="1">
      <alignment horizontal="center" vertical="top"/>
    </xf>
    <xf numFmtId="0" fontId="9" fillId="4" borderId="8" xfId="3" applyNumberFormat="1" applyFont="1" applyFill="1" applyBorder="1" applyAlignment="1" applyProtection="1">
      <alignment horizontal="center" vertical="top"/>
    </xf>
    <xf numFmtId="0" fontId="4" fillId="8" borderId="3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14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left" vertical="top"/>
    </xf>
    <xf numFmtId="0" fontId="14" fillId="4" borderId="1" xfId="0" applyFont="1" applyFill="1" applyBorder="1" applyAlignment="1" applyProtection="1">
      <alignment horizontal="left" vertical="top"/>
    </xf>
    <xf numFmtId="0" fontId="4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right"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 applyProtection="1">
      <alignment horizontal="left" vertical="top" wrapText="1" indent="26"/>
    </xf>
    <xf numFmtId="0" fontId="4" fillId="4" borderId="0" xfId="0" applyFont="1" applyFill="1" applyAlignment="1">
      <alignment horizontal="center"/>
    </xf>
    <xf numFmtId="0" fontId="36" fillId="4" borderId="0" xfId="0" applyFont="1" applyFill="1" applyAlignment="1">
      <alignment horizontal="center"/>
    </xf>
    <xf numFmtId="0" fontId="10" fillId="2" borderId="11" xfId="2" applyFont="1" applyFill="1" applyBorder="1" applyAlignment="1" applyProtection="1">
      <alignment horizontal="center" vertical="center"/>
    </xf>
    <xf numFmtId="0" fontId="10" fillId="2" borderId="7" xfId="2" applyFont="1" applyFill="1" applyBorder="1" applyAlignment="1" applyProtection="1">
      <alignment horizontal="center" vertical="center"/>
    </xf>
    <xf numFmtId="0" fontId="9" fillId="2" borderId="3" xfId="2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horizontal="center" vertical="center"/>
    </xf>
    <xf numFmtId="0" fontId="9" fillId="2" borderId="3" xfId="2" applyFont="1" applyFill="1" applyBorder="1" applyAlignment="1" applyProtection="1">
      <alignment horizontal="right" vertical="top"/>
    </xf>
    <xf numFmtId="0" fontId="9" fillId="2" borderId="0" xfId="2" applyFont="1" applyFill="1" applyBorder="1" applyAlignment="1" applyProtection="1">
      <alignment horizontal="right" vertical="top"/>
    </xf>
  </cellXfs>
  <cellStyles count="7">
    <cellStyle name="=C:\WINNT\SYSTEM32\COMMAND.COM" xfId="3"/>
    <cellStyle name="Hipervínculo" xfId="6" builtinId="8"/>
    <cellStyle name="Millares" xfId="1" builtinId="3"/>
    <cellStyle name="Millares 2" xfId="5"/>
    <cellStyle name="Normal" xfId="0" builtinId="0"/>
    <cellStyle name="Normal 2" xfId="2"/>
    <cellStyle name="Normal 9" xfId="4"/>
  </cellStyles>
  <dxfs count="4"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5" dropStyle="combo" dx="16" fmlaLink="$D$18" fmlaRange="Periodos!$A$2:$A$13" sel="12" val="7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2639221</xdr:colOff>
      <xdr:row>1</xdr:row>
      <xdr:rowOff>0</xdr:rowOff>
    </xdr:from>
    <xdr:to>
      <xdr:col>3</xdr:col>
      <xdr:colOff>3800080</xdr:colOff>
      <xdr:row>4</xdr:row>
      <xdr:rowOff>148827</xdr:rowOff>
    </xdr:to>
    <xdr:pic>
      <xdr:nvPicPr>
        <xdr:cNvPr id="2" name="3 Imagen" descr="queretaro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b="29181"/>
        <a:stretch>
          <a:fillRect/>
        </a:stretch>
      </xdr:blipFill>
      <xdr:spPr>
        <a:xfrm>
          <a:off x="9088440" y="515938"/>
          <a:ext cx="1160859" cy="1031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1628775</xdr:colOff>
          <xdr:row>16</xdr:row>
          <xdr:rowOff>85725</xdr:rowOff>
        </xdr:from>
        <xdr:to>
          <xdr:col>4</xdr:col>
          <xdr:colOff>9525</xdr:colOff>
          <xdr:row>18</xdr:row>
          <xdr:rowOff>38100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916557</xdr:colOff>
      <xdr:row>117</xdr:row>
      <xdr:rowOff>-1</xdr:rowOff>
    </xdr:from>
    <xdr:to>
      <xdr:col>3</xdr:col>
      <xdr:colOff>1096274</xdr:colOff>
      <xdr:row>117</xdr:row>
      <xdr:rowOff>-1</xdr:rowOff>
    </xdr:to>
    <xdr:cxnSp macro="">
      <xdr:nvCxnSpPr>
        <xdr:cNvPr id="4" name="Conector recto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CxnSpPr/>
      </xdr:nvCxnSpPr>
      <xdr:spPr>
        <a:xfrm>
          <a:off x="1078302" y="16102641"/>
          <a:ext cx="560717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1308572</xdr:colOff>
      <xdr:row>117</xdr:row>
      <xdr:rowOff>4344</xdr:rowOff>
    </xdr:from>
    <xdr:to>
      <xdr:col>7</xdr:col>
      <xdr:colOff>692796</xdr:colOff>
      <xdr:row>117</xdr:row>
      <xdr:rowOff>4344</xdr:rowOff>
    </xdr:to>
    <xdr:cxnSp macro="">
      <xdr:nvCxnSpPr>
        <xdr:cNvPr id="7" name="Conector recto 6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8248215" y="18028575"/>
          <a:ext cx="561210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1855391</xdr:colOff>
      <xdr:row>44</xdr:row>
      <xdr:rowOff>128985</xdr:rowOff>
    </xdr:from>
    <xdr:to>
      <xdr:col>3</xdr:col>
      <xdr:colOff>833437</xdr:colOff>
      <xdr:row>44</xdr:row>
      <xdr:rowOff>128985</xdr:rowOff>
    </xdr:to>
    <xdr:cxnSp macro="">
      <xdr:nvCxnSpPr>
        <xdr:cNvPr id="2" name="Conector recto 1"/>
        <xdr:cNvCxnSpPr/>
      </xdr:nvCxnSpPr>
      <xdr:spPr>
        <a:xfrm>
          <a:off x="760016" y="8510985"/>
          <a:ext cx="15307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2880921</xdr:colOff>
      <xdr:row>44</xdr:row>
      <xdr:rowOff>132557</xdr:rowOff>
    </xdr:from>
    <xdr:to>
      <xdr:col>5</xdr:col>
      <xdr:colOff>648499</xdr:colOff>
      <xdr:row>44</xdr:row>
      <xdr:rowOff>132557</xdr:rowOff>
    </xdr:to>
    <xdr:cxnSp macro="">
      <xdr:nvCxnSpPr>
        <xdr:cNvPr id="3" name="Conector recto 2"/>
        <xdr:cNvCxnSpPr/>
      </xdr:nvCxnSpPr>
      <xdr:spPr>
        <a:xfrm>
          <a:off x="2290371" y="8514557"/>
          <a:ext cx="140612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1855391</xdr:colOff>
      <xdr:row>44</xdr:row>
      <xdr:rowOff>128985</xdr:rowOff>
    </xdr:from>
    <xdr:to>
      <xdr:col>3</xdr:col>
      <xdr:colOff>833437</xdr:colOff>
      <xdr:row>44</xdr:row>
      <xdr:rowOff>128985</xdr:rowOff>
    </xdr:to>
    <xdr:cxnSp macro="">
      <xdr:nvCxnSpPr>
        <xdr:cNvPr id="2" name="Conector recto 1"/>
        <xdr:cNvCxnSpPr/>
      </xdr:nvCxnSpPr>
      <xdr:spPr>
        <a:xfrm>
          <a:off x="760016" y="8510985"/>
          <a:ext cx="15307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2831311</xdr:colOff>
      <xdr:row>44</xdr:row>
      <xdr:rowOff>132557</xdr:rowOff>
    </xdr:from>
    <xdr:to>
      <xdr:col>5</xdr:col>
      <xdr:colOff>598889</xdr:colOff>
      <xdr:row>44</xdr:row>
      <xdr:rowOff>132557</xdr:rowOff>
    </xdr:to>
    <xdr:cxnSp macro="">
      <xdr:nvCxnSpPr>
        <xdr:cNvPr id="3" name="Conector recto 2"/>
        <xdr:cNvCxnSpPr/>
      </xdr:nvCxnSpPr>
      <xdr:spPr>
        <a:xfrm>
          <a:off x="2288386" y="8514557"/>
          <a:ext cx="135850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99392</xdr:colOff>
      <xdr:row>0</xdr:row>
      <xdr:rowOff>140805</xdr:rowOff>
    </xdr:from>
    <xdr:to>
      <xdr:col>1</xdr:col>
      <xdr:colOff>697390</xdr:colOff>
      <xdr:row>4</xdr:row>
      <xdr:rowOff>114917</xdr:rowOff>
    </xdr:to>
    <xdr:pic>
      <xdr:nvPicPr>
        <xdr:cNvPr id="2" name="1 Imagen" descr="queretaro.jpg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29181"/>
        <a:stretch>
          <a:fillRect/>
        </a:stretch>
      </xdr:blipFill>
      <xdr:spPr>
        <a:xfrm>
          <a:off x="385142" y="140805"/>
          <a:ext cx="597998" cy="58371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95250</xdr:colOff>
      <xdr:row>1</xdr:row>
      <xdr:rowOff>9525</xdr:rowOff>
    </xdr:from>
    <xdr:to>
      <xdr:col>2</xdr:col>
      <xdr:colOff>693248</xdr:colOff>
      <xdr:row>4</xdr:row>
      <xdr:rowOff>65635</xdr:rowOff>
    </xdr:to>
    <xdr:pic>
      <xdr:nvPicPr>
        <xdr:cNvPr id="2" name="1 Imagen" descr="queretaro.jpg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29181"/>
        <a:stretch>
          <a:fillRect/>
        </a:stretch>
      </xdr:blipFill>
      <xdr:spPr>
        <a:xfrm>
          <a:off x="523875" y="161925"/>
          <a:ext cx="597998" cy="513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outlinePr showOutlineSymbols="0"/>
  </sheetPr>
  <dimension ref="C2:K27"/>
  <sheetViews>
    <sheetView showGridLines="0" showRuler="0" showOutlineSymbols="0" zoomScale="96" zoomScaleNormal="96" workbookViewId="0">
      <selection activeCell="C6" sqref="C6"/>
    </sheetView>
  </sheetViews>
  <sheetFormatPr baseColWidth="10" defaultRowHeight="15" x14ac:dyDescent="0.25"/>
  <cols>
    <col min="1" max="2" width="11.42578125" style="197"/>
    <col min="3" max="3" width="73.85546875" style="197" customWidth="1"/>
    <col min="4" max="4" width="65.42578125" style="197" customWidth="1"/>
    <col min="5" max="5" width="11.42578125" style="197" customWidth="1"/>
    <col min="6" max="16384" width="11.42578125" style="197"/>
  </cols>
  <sheetData>
    <row r="2" spans="3:11" s="199" customFormat="1" ht="31.5" x14ac:dyDescent="0.5">
      <c r="C2" s="454" t="s">
        <v>1068</v>
      </c>
      <c r="D2" s="454"/>
    </row>
    <row r="3" spans="3:11" s="200" customFormat="1" ht="23.25" x14ac:dyDescent="0.35">
      <c r="C3" s="455" t="s">
        <v>1</v>
      </c>
      <c r="D3" s="455"/>
      <c r="K3" s="201"/>
    </row>
    <row r="5" spans="3:11" s="203" customFormat="1" ht="15.75" x14ac:dyDescent="0.25">
      <c r="C5" s="202" t="s">
        <v>824</v>
      </c>
    </row>
    <row r="6" spans="3:11" s="203" customFormat="1" ht="15.75" x14ac:dyDescent="0.25">
      <c r="C6" s="202" t="s">
        <v>4</v>
      </c>
    </row>
    <row r="7" spans="3:11" s="203" customFormat="1" ht="15.75" x14ac:dyDescent="0.25">
      <c r="C7" s="202" t="s">
        <v>1040</v>
      </c>
    </row>
    <row r="8" spans="3:11" s="203" customFormat="1" ht="15.75" x14ac:dyDescent="0.25">
      <c r="C8" s="202" t="s">
        <v>1073</v>
      </c>
    </row>
    <row r="9" spans="3:11" s="203" customFormat="1" ht="15.75" x14ac:dyDescent="0.25">
      <c r="C9" s="202" t="s">
        <v>1074</v>
      </c>
    </row>
    <row r="10" spans="3:11" s="203" customFormat="1" ht="15.75" x14ac:dyDescent="0.25">
      <c r="C10" s="202"/>
    </row>
    <row r="11" spans="3:11" s="203" customFormat="1" ht="15.75" x14ac:dyDescent="0.25">
      <c r="C11" s="453" t="s">
        <v>826</v>
      </c>
      <c r="D11" s="453"/>
    </row>
    <row r="12" spans="3:11" s="203" customFormat="1" ht="15.75" x14ac:dyDescent="0.25">
      <c r="C12" s="204" t="s">
        <v>816</v>
      </c>
      <c r="D12" s="204" t="s">
        <v>823</v>
      </c>
    </row>
    <row r="13" spans="3:11" s="203" customFormat="1" ht="15.75" x14ac:dyDescent="0.25">
      <c r="C13" s="204" t="s">
        <v>817</v>
      </c>
      <c r="D13" s="204" t="s">
        <v>819</v>
      </c>
    </row>
    <row r="14" spans="3:11" s="203" customFormat="1" ht="15.75" x14ac:dyDescent="0.25">
      <c r="C14" s="204" t="s">
        <v>821</v>
      </c>
      <c r="D14" s="204" t="s">
        <v>820</v>
      </c>
    </row>
    <row r="15" spans="3:11" s="203" customFormat="1" ht="15.75" x14ac:dyDescent="0.25">
      <c r="C15" s="204" t="s">
        <v>818</v>
      </c>
      <c r="D15" s="204" t="s">
        <v>1038</v>
      </c>
    </row>
    <row r="16" spans="3:11" s="203" customFormat="1" ht="15.75" x14ac:dyDescent="0.25">
      <c r="C16" s="204" t="s">
        <v>822</v>
      </c>
      <c r="D16" s="204" t="s">
        <v>1039</v>
      </c>
    </row>
    <row r="17" spans="3:10" s="203" customFormat="1" ht="15.75" x14ac:dyDescent="0.25"/>
    <row r="18" spans="3:10" s="203" customFormat="1" ht="15.75" x14ac:dyDescent="0.25">
      <c r="C18" s="453" t="s">
        <v>827</v>
      </c>
      <c r="D18" s="453"/>
    </row>
    <row r="19" spans="3:10" s="203" customFormat="1" ht="15.75" x14ac:dyDescent="0.25">
      <c r="C19" s="204" t="s">
        <v>825</v>
      </c>
    </row>
    <row r="20" spans="3:10" s="203" customFormat="1" ht="15.75" x14ac:dyDescent="0.25">
      <c r="C20" s="204" t="s">
        <v>828</v>
      </c>
    </row>
    <row r="21" spans="3:10" s="203" customFormat="1" ht="15.75" x14ac:dyDescent="0.25">
      <c r="C21" s="204" t="s">
        <v>829</v>
      </c>
    </row>
    <row r="22" spans="3:10" ht="21" x14ac:dyDescent="0.35">
      <c r="C22" s="170"/>
    </row>
    <row r="23" spans="3:10" ht="21" x14ac:dyDescent="0.35">
      <c r="C23" s="170"/>
    </row>
    <row r="24" spans="3:10" ht="21" x14ac:dyDescent="0.35">
      <c r="C24" s="170"/>
    </row>
    <row r="25" spans="3:10" ht="21" x14ac:dyDescent="0.35">
      <c r="C25" s="170"/>
      <c r="J25" s="196"/>
    </row>
    <row r="26" spans="3:10" ht="21" x14ac:dyDescent="0.35">
      <c r="C26" s="170"/>
      <c r="I26" s="196"/>
      <c r="J26" s="196"/>
    </row>
    <row r="27" spans="3:10" x14ac:dyDescent="0.25">
      <c r="I27" s="197" t="str">
        <f>+UPPER(C26)</f>
        <v/>
      </c>
    </row>
  </sheetData>
  <sheetProtection selectLockedCells="1" selectUnlockedCells="1"/>
  <mergeCells count="4">
    <mergeCell ref="C18:D18"/>
    <mergeCell ref="C11:D11"/>
    <mergeCell ref="C2:D2"/>
    <mergeCell ref="C3:D3"/>
  </mergeCells>
  <hyperlinks>
    <hyperlink ref="C12" location="EA!A1" display="ESTADO DE ACTIVIDADES"/>
    <hyperlink ref="C13" location="ESF!A1" display="ESTADO DE SITUACIÓN FINANCIERA"/>
    <hyperlink ref="C15" location="ECSF!A1" display="ESTADO DE CAMBIOS EN LA SITUACIÓN FINANCIERA"/>
    <hyperlink ref="D13" location="EAA!A1" display="ESTADO ANALÍTICO DEL ACTIVO"/>
    <hyperlink ref="D14" location="EADP!A1" display="ESTADO ANALÍTICO DE LA DEUDA Y OTROS PASIVOS"/>
    <hyperlink ref="C5" location="ENTE!A1" display="DATOS DE LA ENTIDAD"/>
    <hyperlink ref="C6" location="'BALANZA COMPROBACION'!A1" display="BALANZA DE COMPROBACIÓN"/>
    <hyperlink ref="C16" location="EFE!A1" display="ESTADO DE FLUJOS DE EFECTIVO"/>
    <hyperlink ref="D12" location="IPC!A1" display="INFORME SOBRE PASIVOS CONTINGENTES"/>
    <hyperlink ref="C19" location="ESFD!A1" display="ESTADO DE SITUACIÓN FINANCIERA DETALLADO"/>
    <hyperlink ref="C20" location="IADOP!A1" display="INFORME ANALÍTICO DE LA DEUDA PÚBLICA Y OTROS PASIVOS"/>
    <hyperlink ref="C21" location="IAODF!A1" display="INFORME ANALÍTICO DE OBLIGACIONES DIFERENTES DE FINANCIAMIENTOS"/>
    <hyperlink ref="C14" location="EVHP!A1" display="ESTADO DE VARIACIÓN EN LA HACIENDA PÚBLICA"/>
    <hyperlink ref="D16" location="CF!A1" display="COBERTURAS FINANCIERAS"/>
    <hyperlink ref="D15" location="EB!A1" display="ESQUEMAS BURSÁTILES"/>
    <hyperlink ref="C7" location="Comprobación!A1" display="COMPROBACIÓN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2:V59"/>
  <sheetViews>
    <sheetView showGridLines="0" view="pageBreakPreview" topLeftCell="B17" zoomScale="80" zoomScaleNormal="60" zoomScaleSheetLayoutView="80" workbookViewId="0">
      <selection activeCell="R21" sqref="R21"/>
    </sheetView>
  </sheetViews>
  <sheetFormatPr baseColWidth="10" defaultRowHeight="12" x14ac:dyDescent="0.2"/>
  <cols>
    <col min="1" max="1" width="7.5703125" style="23" hidden="1" customWidth="1"/>
    <col min="2" max="2" width="1.28515625" style="23" customWidth="1"/>
    <col min="3" max="3" width="1.28515625" style="28" customWidth="1"/>
    <col min="4" max="5" width="3.7109375" style="28" customWidth="1"/>
    <col min="6" max="6" width="23.85546875" style="28" customWidth="1"/>
    <col min="7" max="7" width="21.42578125" style="28" customWidth="1"/>
    <col min="8" max="8" width="17.28515625" style="28" customWidth="1"/>
    <col min="9" max="9" width="18.140625" style="38" customWidth="1"/>
    <col min="10" max="10" width="18.7109375" style="38" customWidth="1"/>
    <col min="11" max="11" width="7.7109375" style="28" customWidth="1"/>
    <col min="12" max="13" width="3.7109375" style="23" customWidth="1"/>
    <col min="14" max="16" width="18.7109375" style="23" customWidth="1"/>
    <col min="17" max="17" width="18" style="23" customWidth="1"/>
    <col min="18" max="18" width="17.42578125" style="23" customWidth="1"/>
    <col min="19" max="20" width="1.85546875" style="23" customWidth="1"/>
    <col min="21" max="16384" width="11.42578125" style="23"/>
  </cols>
  <sheetData>
    <row r="2" spans="3:20" hidden="1" x14ac:dyDescent="0.2"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102"/>
      <c r="T2" s="102"/>
    </row>
    <row r="3" spans="3:20" ht="12" customHeight="1" x14ac:dyDescent="0.2">
      <c r="D3" s="475" t="s">
        <v>788</v>
      </c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475"/>
      <c r="R3" s="475"/>
      <c r="S3" s="475"/>
      <c r="T3" s="430"/>
    </row>
    <row r="4" spans="3:20" ht="12" customHeight="1" x14ac:dyDescent="0.2">
      <c r="D4" s="475" t="str">
        <f>"Al "&amp;TEXT(INDEX(Periodos,ENTE!D18,1),"dd")&amp;" de "&amp;TEXT(INDEX(Periodos,ENTE!D18,1),"mmmm")&amp;" de "&amp;TEXT(INDEX(Periodos,ENTE!D18,1),"aaaa")&amp;" y al 31 de diciembre de 2017"</f>
        <v>Al 31 de diciembre de 2018 y al 31 de diciembre de 2017</v>
      </c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  <c r="P4" s="475"/>
      <c r="Q4" s="475"/>
      <c r="R4" s="475"/>
      <c r="S4" s="475"/>
      <c r="T4" s="430"/>
    </row>
    <row r="5" spans="3:20" ht="12" customHeight="1" x14ac:dyDescent="0.2">
      <c r="D5" s="475" t="s">
        <v>624</v>
      </c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  <c r="P5" s="475"/>
      <c r="Q5" s="475"/>
      <c r="R5" s="475"/>
      <c r="S5" s="475"/>
      <c r="T5" s="430"/>
    </row>
    <row r="6" spans="3:20" ht="12" customHeight="1" x14ac:dyDescent="0.2"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</row>
    <row r="7" spans="3:20" ht="12" customHeight="1" x14ac:dyDescent="0.2">
      <c r="C7" s="78"/>
      <c r="D7" s="500" t="s">
        <v>6</v>
      </c>
      <c r="E7" s="500"/>
      <c r="F7" s="500"/>
      <c r="G7" s="477" t="str">
        <f>ENTE!D8</f>
        <v>UNIDAD DE SERVICIOS PARA LA EDUCACIÓN BÁSICA EN EL ESTADO DE QUERÉTARO</v>
      </c>
      <c r="H7" s="477"/>
      <c r="I7" s="477"/>
      <c r="J7" s="477"/>
      <c r="K7" s="477"/>
      <c r="L7" s="477"/>
      <c r="M7" s="477"/>
      <c r="N7" s="477"/>
      <c r="O7" s="477"/>
      <c r="P7" s="477"/>
      <c r="Q7" s="477"/>
      <c r="R7" s="116"/>
      <c r="S7" s="116"/>
      <c r="T7" s="76"/>
    </row>
    <row r="8" spans="3:20" s="22" customFormat="1" ht="12" customHeight="1" x14ac:dyDescent="0.2">
      <c r="C8" s="28"/>
      <c r="D8" s="27"/>
      <c r="E8" s="27"/>
      <c r="F8" s="153"/>
      <c r="G8" s="27"/>
      <c r="H8" s="27"/>
      <c r="I8" s="154"/>
      <c r="J8" s="154"/>
      <c r="K8" s="153"/>
    </row>
    <row r="9" spans="3:20" s="22" customFormat="1" ht="3" customHeight="1" x14ac:dyDescent="0.2">
      <c r="C9" s="28"/>
      <c r="D9" s="28"/>
      <c r="E9" s="155"/>
      <c r="F9" s="153"/>
      <c r="G9" s="155"/>
      <c r="H9" s="155"/>
      <c r="I9" s="156"/>
      <c r="J9" s="156"/>
      <c r="K9" s="153"/>
    </row>
    <row r="10" spans="3:20" s="22" customFormat="1" ht="31.5" customHeight="1" x14ac:dyDescent="0.2">
      <c r="C10" s="193"/>
      <c r="D10" s="498" t="s">
        <v>625</v>
      </c>
      <c r="E10" s="498"/>
      <c r="F10" s="498"/>
      <c r="G10" s="498"/>
      <c r="H10" s="431"/>
      <c r="I10" s="172">
        <v>2018</v>
      </c>
      <c r="J10" s="172">
        <v>2017</v>
      </c>
      <c r="K10" s="194"/>
      <c r="L10" s="498" t="s">
        <v>625</v>
      </c>
      <c r="M10" s="498"/>
      <c r="N10" s="498"/>
      <c r="O10" s="498"/>
      <c r="P10" s="431"/>
      <c r="Q10" s="172">
        <v>2018</v>
      </c>
      <c r="R10" s="172">
        <v>2017</v>
      </c>
      <c r="S10" s="195"/>
    </row>
    <row r="11" spans="3:20" s="22" customFormat="1" ht="3" customHeight="1" x14ac:dyDescent="0.2">
      <c r="C11" s="32"/>
      <c r="D11" s="28"/>
      <c r="E11" s="28"/>
      <c r="F11" s="33"/>
      <c r="G11" s="33"/>
      <c r="H11" s="33"/>
      <c r="I11" s="157"/>
      <c r="J11" s="157"/>
      <c r="K11" s="28"/>
      <c r="S11" s="35"/>
    </row>
    <row r="12" spans="3:20" s="22" customFormat="1" x14ac:dyDescent="0.2">
      <c r="C12" s="84"/>
      <c r="D12" s="38"/>
      <c r="E12" s="105"/>
      <c r="F12" s="105"/>
      <c r="G12" s="105"/>
      <c r="H12" s="105"/>
      <c r="I12" s="157"/>
      <c r="J12" s="157"/>
      <c r="K12" s="38"/>
      <c r="S12" s="35"/>
    </row>
    <row r="13" spans="3:20" ht="17.25" customHeight="1" x14ac:dyDescent="0.2">
      <c r="C13" s="84"/>
      <c r="D13" s="494" t="s">
        <v>789</v>
      </c>
      <c r="E13" s="494"/>
      <c r="F13" s="494"/>
      <c r="G13" s="494"/>
      <c r="H13" s="494"/>
      <c r="I13" s="157"/>
      <c r="J13" s="157"/>
      <c r="K13" s="38"/>
      <c r="L13" s="494" t="s">
        <v>790</v>
      </c>
      <c r="M13" s="494"/>
      <c r="N13" s="494"/>
      <c r="O13" s="494"/>
      <c r="P13" s="494"/>
      <c r="Q13" s="158"/>
      <c r="R13" s="158"/>
      <c r="S13" s="35"/>
      <c r="T13" s="22"/>
    </row>
    <row r="14" spans="3:20" ht="17.25" customHeight="1" x14ac:dyDescent="0.2">
      <c r="C14" s="84"/>
      <c r="D14" s="38"/>
      <c r="E14" s="105"/>
      <c r="F14" s="38"/>
      <c r="G14" s="105"/>
      <c r="H14" s="105"/>
      <c r="I14" s="157"/>
      <c r="J14" s="157"/>
      <c r="K14" s="38"/>
      <c r="L14" s="38"/>
      <c r="M14" s="105"/>
      <c r="N14" s="105"/>
      <c r="O14" s="105"/>
      <c r="P14" s="105"/>
      <c r="Q14" s="158"/>
      <c r="R14" s="158"/>
      <c r="S14" s="35"/>
      <c r="T14" s="22"/>
    </row>
    <row r="15" spans="3:20" ht="17.25" customHeight="1" x14ac:dyDescent="0.2">
      <c r="C15" s="84"/>
      <c r="D15" s="38"/>
      <c r="E15" s="494" t="s">
        <v>744</v>
      </c>
      <c r="F15" s="494"/>
      <c r="G15" s="494"/>
      <c r="H15" s="494"/>
      <c r="I15" s="443">
        <f>ROUND(SUM(I16:I26),2)</f>
        <v>7727081368.1599998</v>
      </c>
      <c r="J15" s="443">
        <f>SUM(J16:J26)</f>
        <v>7349946518.1999998</v>
      </c>
      <c r="K15" s="38"/>
      <c r="L15" s="38"/>
      <c r="M15" s="494" t="s">
        <v>744</v>
      </c>
      <c r="N15" s="494"/>
      <c r="O15" s="494"/>
      <c r="P15" s="494"/>
      <c r="Q15" s="443">
        <f>ROUND(SUM(Q16:Q18),2)</f>
        <v>61326170.759999998</v>
      </c>
      <c r="R15" s="443">
        <f>ROUND(SUM(R16:R18),2)</f>
        <v>91666021</v>
      </c>
      <c r="S15" s="35"/>
      <c r="T15" s="22"/>
    </row>
    <row r="16" spans="3:20" ht="15" customHeight="1" x14ac:dyDescent="0.2">
      <c r="C16" s="84"/>
      <c r="D16" s="38"/>
      <c r="E16" s="105"/>
      <c r="F16" s="492" t="s">
        <v>630</v>
      </c>
      <c r="G16" s="492"/>
      <c r="H16" s="492"/>
      <c r="I16" s="158">
        <f>EA!E14</f>
        <v>0</v>
      </c>
      <c r="J16" s="158">
        <f>-SUM('BALANZA COMPROBACION'!E419:E426)</f>
        <v>0</v>
      </c>
      <c r="K16" s="38"/>
      <c r="L16" s="38"/>
      <c r="M16" s="22"/>
      <c r="N16" s="497" t="s">
        <v>712</v>
      </c>
      <c r="O16" s="497"/>
      <c r="P16" s="497"/>
      <c r="Q16" s="287">
        <v>12579905.76</v>
      </c>
      <c r="R16" s="287">
        <v>0</v>
      </c>
      <c r="S16" s="35"/>
      <c r="T16" s="22"/>
    </row>
    <row r="17" spans="3:20" ht="15" customHeight="1" x14ac:dyDescent="0.2">
      <c r="C17" s="84"/>
      <c r="D17" s="38"/>
      <c r="E17" s="105"/>
      <c r="F17" s="492" t="s">
        <v>791</v>
      </c>
      <c r="G17" s="492"/>
      <c r="H17" s="492"/>
      <c r="I17" s="158">
        <f>EA!E15</f>
        <v>0</v>
      </c>
      <c r="J17" s="158">
        <f>-SUM('BALANZA COMPROBACION'!E427:E431)</f>
        <v>0</v>
      </c>
      <c r="K17" s="38"/>
      <c r="L17" s="38"/>
      <c r="M17" s="22"/>
      <c r="N17" s="497" t="s">
        <v>714</v>
      </c>
      <c r="O17" s="497"/>
      <c r="P17" s="497"/>
      <c r="Q17" s="287">
        <v>0</v>
      </c>
      <c r="R17" s="287">
        <v>40960805</v>
      </c>
      <c r="S17" s="35"/>
      <c r="T17" s="22"/>
    </row>
    <row r="18" spans="3:20" ht="15" customHeight="1" x14ac:dyDescent="0.2">
      <c r="C18" s="84"/>
      <c r="D18" s="38"/>
      <c r="E18" s="433"/>
      <c r="F18" s="492" t="s">
        <v>792</v>
      </c>
      <c r="G18" s="492"/>
      <c r="H18" s="492"/>
      <c r="I18" s="158">
        <f>EA!E16</f>
        <v>0</v>
      </c>
      <c r="J18" s="158">
        <f>-SUM('BALANZA COMPROBACION'!E432)</f>
        <v>0</v>
      </c>
      <c r="K18" s="38"/>
      <c r="L18" s="38"/>
      <c r="M18" s="157"/>
      <c r="N18" s="497" t="s">
        <v>793</v>
      </c>
      <c r="O18" s="497"/>
      <c r="P18" s="497"/>
      <c r="Q18" s="287">
        <v>48746265</v>
      </c>
      <c r="R18" s="287">
        <v>50705216</v>
      </c>
      <c r="S18" s="35"/>
      <c r="T18" s="22"/>
    </row>
    <row r="19" spans="3:20" ht="15" customHeight="1" x14ac:dyDescent="0.2">
      <c r="C19" s="84"/>
      <c r="D19" s="38"/>
      <c r="E19" s="433"/>
      <c r="F19" s="492" t="s">
        <v>636</v>
      </c>
      <c r="G19" s="492"/>
      <c r="H19" s="492"/>
      <c r="I19" s="158">
        <f>EA!E17</f>
        <v>0</v>
      </c>
      <c r="J19" s="158">
        <f>-SUM('BALANZA COMPROBACION'!E433:E437)</f>
        <v>0</v>
      </c>
      <c r="K19" s="38"/>
      <c r="L19" s="38"/>
      <c r="M19" s="157"/>
      <c r="S19" s="35"/>
      <c r="T19" s="22"/>
    </row>
    <row r="20" spans="3:20" ht="15" customHeight="1" x14ac:dyDescent="0.2">
      <c r="C20" s="84"/>
      <c r="D20" s="38"/>
      <c r="E20" s="433"/>
      <c r="F20" s="492" t="s">
        <v>637</v>
      </c>
      <c r="G20" s="492"/>
      <c r="H20" s="492"/>
      <c r="I20" s="158">
        <f>EA!E18</f>
        <v>0</v>
      </c>
      <c r="J20" s="158">
        <f>-SUM('BALANZA COMPROBACION'!E438:E441)</f>
        <v>0</v>
      </c>
      <c r="K20" s="38"/>
      <c r="L20" s="38"/>
      <c r="M20" s="432" t="s">
        <v>745</v>
      </c>
      <c r="N20" s="432"/>
      <c r="O20" s="432"/>
      <c r="P20" s="432"/>
      <c r="Q20" s="443">
        <f>ROUND(SUM(Q21:Q23),2)</f>
        <v>16417520.380000001</v>
      </c>
      <c r="R20" s="443">
        <f>ROUND(SUM(R21:R23),2)</f>
        <v>9074782</v>
      </c>
      <c r="S20" s="35"/>
      <c r="T20" s="22"/>
    </row>
    <row r="21" spans="3:20" ht="15" customHeight="1" x14ac:dyDescent="0.2">
      <c r="C21" s="84"/>
      <c r="D21" s="38"/>
      <c r="E21" s="433"/>
      <c r="F21" s="492" t="s">
        <v>639</v>
      </c>
      <c r="G21" s="492"/>
      <c r="H21" s="492"/>
      <c r="I21" s="158">
        <f>EA!E19</f>
        <v>0</v>
      </c>
      <c r="J21" s="158">
        <f>-SUM('BALANZA COMPROBACION'!E442:E450)</f>
        <v>0</v>
      </c>
      <c r="K21" s="38"/>
      <c r="L21" s="38"/>
      <c r="M21" s="157"/>
      <c r="N21" s="433" t="s">
        <v>712</v>
      </c>
      <c r="O21" s="433"/>
      <c r="P21" s="433"/>
      <c r="Q21" s="287">
        <v>0</v>
      </c>
      <c r="R21" s="287"/>
      <c r="S21" s="35"/>
      <c r="T21" s="22"/>
    </row>
    <row r="22" spans="3:20" ht="15" customHeight="1" x14ac:dyDescent="0.2">
      <c r="C22" s="84"/>
      <c r="D22" s="38"/>
      <c r="E22" s="433"/>
      <c r="F22" s="492" t="s">
        <v>641</v>
      </c>
      <c r="G22" s="492"/>
      <c r="H22" s="492"/>
      <c r="I22" s="158">
        <f>EA!E20</f>
        <v>780473.53</v>
      </c>
      <c r="J22" s="158">
        <f>-SUM('BALANZA COMPROBACION'!E451:E454)</f>
        <v>444551.46</v>
      </c>
      <c r="K22" s="38"/>
      <c r="L22" s="38"/>
      <c r="M22" s="157"/>
      <c r="N22" s="497" t="s">
        <v>714</v>
      </c>
      <c r="O22" s="497"/>
      <c r="P22" s="497"/>
      <c r="Q22" s="287">
        <v>16417520.380000001</v>
      </c>
      <c r="R22" s="287">
        <v>9074782</v>
      </c>
      <c r="S22" s="35"/>
      <c r="T22" s="22"/>
    </row>
    <row r="23" spans="3:20" ht="41.25" customHeight="1" x14ac:dyDescent="0.2">
      <c r="C23" s="84"/>
      <c r="D23" s="38"/>
      <c r="E23" s="433"/>
      <c r="F23" s="492" t="s">
        <v>643</v>
      </c>
      <c r="G23" s="492"/>
      <c r="H23" s="492"/>
      <c r="I23" s="158">
        <f>EA!E21</f>
        <v>0</v>
      </c>
      <c r="J23" s="158">
        <f>-SUM('BALANZA COMPROBACION'!E455:E456)</f>
        <v>0</v>
      </c>
      <c r="K23" s="38"/>
      <c r="L23" s="38"/>
      <c r="M23" s="22"/>
      <c r="N23" s="497" t="s">
        <v>794</v>
      </c>
      <c r="O23" s="497"/>
      <c r="P23" s="497"/>
      <c r="Q23" s="287">
        <v>0</v>
      </c>
      <c r="R23" s="287"/>
      <c r="S23" s="35"/>
      <c r="T23" s="22"/>
    </row>
    <row r="24" spans="3:20" ht="15" customHeight="1" x14ac:dyDescent="0.2">
      <c r="C24" s="84"/>
      <c r="D24" s="38"/>
      <c r="E24" s="433"/>
      <c r="F24" s="492" t="s">
        <v>648</v>
      </c>
      <c r="G24" s="492"/>
      <c r="H24" s="492"/>
      <c r="I24" s="158">
        <f>EA!E24</f>
        <v>7202611100.1899996</v>
      </c>
      <c r="J24" s="158">
        <f>-SUM('BALANZA COMPROBACION'!E457:E459)</f>
        <v>6612613190.5900002</v>
      </c>
      <c r="K24" s="38"/>
      <c r="L24" s="38"/>
      <c r="M24" s="494" t="s">
        <v>795</v>
      </c>
      <c r="N24" s="494"/>
      <c r="O24" s="494"/>
      <c r="P24" s="494"/>
      <c r="Q24" s="443">
        <f>ROUND(Q15-Q20,2)</f>
        <v>44908650.380000003</v>
      </c>
      <c r="R24" s="443">
        <f>ROUND(R15-R20,2)</f>
        <v>82591239</v>
      </c>
      <c r="S24" s="35"/>
      <c r="T24" s="22"/>
    </row>
    <row r="25" spans="3:20" ht="15" customHeight="1" x14ac:dyDescent="0.2">
      <c r="C25" s="84"/>
      <c r="D25" s="38"/>
      <c r="E25" s="433"/>
      <c r="F25" s="492" t="s">
        <v>796</v>
      </c>
      <c r="G25" s="492"/>
      <c r="H25" s="492"/>
      <c r="I25" s="158">
        <f>EA!E25</f>
        <v>522215720.63999999</v>
      </c>
      <c r="J25" s="158">
        <f>-SUM('BALANZA COMPROBACION'!E461:E465)</f>
        <v>734326970.14999998</v>
      </c>
      <c r="K25" s="38"/>
      <c r="L25" s="38"/>
      <c r="S25" s="35"/>
      <c r="T25" s="22"/>
    </row>
    <row r="26" spans="3:20" ht="15" customHeight="1" x14ac:dyDescent="0.2">
      <c r="C26" s="84"/>
      <c r="D26" s="38"/>
      <c r="E26" s="433"/>
      <c r="F26" s="492" t="s">
        <v>797</v>
      </c>
      <c r="G26" s="492"/>
      <c r="H26" s="434"/>
      <c r="I26" s="287">
        <v>1474073.8</v>
      </c>
      <c r="J26" s="287">
        <v>2561806</v>
      </c>
      <c r="K26" s="38"/>
      <c r="L26" s="22"/>
      <c r="S26" s="35"/>
      <c r="T26" s="22"/>
    </row>
    <row r="27" spans="3:20" ht="15" customHeight="1" x14ac:dyDescent="0.2">
      <c r="C27" s="84"/>
      <c r="D27" s="38"/>
      <c r="E27" s="105"/>
      <c r="F27" s="38"/>
      <c r="G27" s="105"/>
      <c r="H27" s="105"/>
      <c r="I27" s="157"/>
      <c r="J27" s="157"/>
      <c r="K27" s="38"/>
      <c r="L27" s="494" t="s">
        <v>798</v>
      </c>
      <c r="M27" s="494"/>
      <c r="N27" s="494"/>
      <c r="O27" s="494"/>
      <c r="P27" s="494"/>
      <c r="Q27" s="22"/>
      <c r="R27" s="22"/>
      <c r="S27" s="35"/>
      <c r="T27" s="22"/>
    </row>
    <row r="28" spans="3:20" ht="15" customHeight="1" x14ac:dyDescent="0.2">
      <c r="C28" s="84"/>
      <c r="D28" s="38"/>
      <c r="E28" s="494" t="s">
        <v>745</v>
      </c>
      <c r="F28" s="494"/>
      <c r="G28" s="494"/>
      <c r="H28" s="494"/>
      <c r="I28" s="443">
        <f>+I29+I30+I31+I33+I34+I35+I36+I37+I38+I39+I40+I41+I43+I44+I45+I47</f>
        <v>7769214578.2799997</v>
      </c>
      <c r="J28" s="443">
        <f>+J29+J30+J31+J33+J34+J35+J36+J37+J38+J39+J40+J41+J43+J44+J45+J47</f>
        <v>7434451449.0600004</v>
      </c>
      <c r="K28" s="38"/>
      <c r="L28" s="38"/>
      <c r="M28" s="105"/>
      <c r="N28" s="38"/>
      <c r="O28" s="434"/>
      <c r="P28" s="434"/>
      <c r="Q28" s="158"/>
      <c r="R28" s="158"/>
      <c r="S28" s="35"/>
      <c r="T28" s="22"/>
    </row>
    <row r="29" spans="3:20" ht="15" customHeight="1" x14ac:dyDescent="0.2">
      <c r="C29" s="84"/>
      <c r="D29" s="38"/>
      <c r="E29" s="432"/>
      <c r="F29" s="492" t="s">
        <v>799</v>
      </c>
      <c r="G29" s="492"/>
      <c r="H29" s="492"/>
      <c r="I29" s="158">
        <f>EA!J14</f>
        <v>6810443752.1000004</v>
      </c>
      <c r="J29" s="158">
        <f>SUM('BALANZA COMPROBACION'!E482:E487)</f>
        <v>6648309904.5300007</v>
      </c>
      <c r="K29" s="38"/>
      <c r="L29" s="38"/>
      <c r="M29" s="432" t="s">
        <v>744</v>
      </c>
      <c r="N29" s="432"/>
      <c r="O29" s="432"/>
      <c r="P29" s="432"/>
      <c r="Q29" s="443">
        <f>ROUND(Q30+Q33,2)</f>
        <v>31483889.870000001</v>
      </c>
      <c r="R29" s="443">
        <f>ROUND(R30+R33,2)</f>
        <v>46183874</v>
      </c>
      <c r="S29" s="35"/>
      <c r="T29" s="22"/>
    </row>
    <row r="30" spans="3:20" ht="15" customHeight="1" x14ac:dyDescent="0.2">
      <c r="C30" s="84"/>
      <c r="D30" s="38"/>
      <c r="E30" s="432"/>
      <c r="F30" s="492" t="s">
        <v>633</v>
      </c>
      <c r="G30" s="492"/>
      <c r="H30" s="492"/>
      <c r="I30" s="158">
        <f>EA!J15</f>
        <v>313875577.79000002</v>
      </c>
      <c r="J30" s="158">
        <f>SUM('BALANZA COMPROBACION'!E488:E496)</f>
        <v>174267307.01000002</v>
      </c>
      <c r="K30" s="38"/>
      <c r="L30" s="22"/>
      <c r="M30" s="22"/>
      <c r="N30" s="433" t="s">
        <v>800</v>
      </c>
      <c r="O30" s="433"/>
      <c r="P30" s="433"/>
      <c r="Q30" s="444">
        <f>SUM(Q31:Q32)</f>
        <v>0</v>
      </c>
      <c r="R30" s="444">
        <f>SUM(R31:R32)</f>
        <v>0</v>
      </c>
      <c r="S30" s="35"/>
      <c r="T30" s="22"/>
    </row>
    <row r="31" spans="3:20" ht="15" customHeight="1" x14ac:dyDescent="0.2">
      <c r="C31" s="84"/>
      <c r="D31" s="38"/>
      <c r="E31" s="432"/>
      <c r="F31" s="492" t="s">
        <v>635</v>
      </c>
      <c r="G31" s="492"/>
      <c r="H31" s="492"/>
      <c r="I31" s="158">
        <f>EA!J16</f>
        <v>382599614.49000001</v>
      </c>
      <c r="J31" s="158">
        <f>SUM('BALANZA COMPROBACION'!E497:E505)</f>
        <v>366913009.74000001</v>
      </c>
      <c r="K31" s="38"/>
      <c r="L31" s="38"/>
      <c r="M31" s="432"/>
      <c r="N31" s="433" t="s">
        <v>801</v>
      </c>
      <c r="O31" s="433"/>
      <c r="P31" s="433"/>
      <c r="Q31" s="287">
        <v>0</v>
      </c>
      <c r="R31" s="287">
        <v>0</v>
      </c>
      <c r="S31" s="35"/>
      <c r="T31" s="22"/>
    </row>
    <row r="32" spans="3:20" ht="15" customHeight="1" x14ac:dyDescent="0.2">
      <c r="C32" s="84"/>
      <c r="D32" s="38"/>
      <c r="E32" s="105"/>
      <c r="F32" s="38"/>
      <c r="G32" s="105"/>
      <c r="H32" s="105"/>
      <c r="I32" s="157"/>
      <c r="J32" s="158"/>
      <c r="K32" s="38"/>
      <c r="L32" s="38"/>
      <c r="M32" s="432"/>
      <c r="N32" s="433" t="s">
        <v>802</v>
      </c>
      <c r="O32" s="433"/>
      <c r="P32" s="433"/>
      <c r="Q32" s="287">
        <v>0</v>
      </c>
      <c r="R32" s="287">
        <v>0</v>
      </c>
      <c r="S32" s="35"/>
      <c r="T32" s="22"/>
    </row>
    <row r="33" spans="3:22" ht="15" customHeight="1" x14ac:dyDescent="0.2">
      <c r="C33" s="84"/>
      <c r="D33" s="38"/>
      <c r="E33" s="432"/>
      <c r="F33" s="492" t="s">
        <v>640</v>
      </c>
      <c r="G33" s="492"/>
      <c r="H33" s="492"/>
      <c r="I33" s="158">
        <f>EA!J19</f>
        <v>0</v>
      </c>
      <c r="J33" s="158">
        <f>SUM('BALANZA COMPROBACION'!E506:E507)</f>
        <v>1407867</v>
      </c>
      <c r="K33" s="38"/>
      <c r="L33" s="38"/>
      <c r="M33" s="432"/>
      <c r="N33" s="497" t="s">
        <v>803</v>
      </c>
      <c r="O33" s="497"/>
      <c r="P33" s="497"/>
      <c r="Q33" s="287">
        <v>31483889.870000001</v>
      </c>
      <c r="R33" s="287">
        <v>46183874</v>
      </c>
      <c r="S33" s="35"/>
      <c r="T33" s="22"/>
    </row>
    <row r="34" spans="3:22" ht="15" customHeight="1" x14ac:dyDescent="0.2">
      <c r="C34" s="84"/>
      <c r="D34" s="38"/>
      <c r="E34" s="432"/>
      <c r="F34" s="492" t="s">
        <v>804</v>
      </c>
      <c r="G34" s="492"/>
      <c r="H34" s="492"/>
      <c r="I34" s="158">
        <f>EA!J20</f>
        <v>0</v>
      </c>
      <c r="J34" s="158">
        <f>SUM('BALANZA COMPROBACION'!E508:E509)</f>
        <v>0</v>
      </c>
      <c r="K34" s="38"/>
      <c r="L34" s="38"/>
      <c r="M34" s="157"/>
      <c r="S34" s="35"/>
      <c r="T34" s="22"/>
    </row>
    <row r="35" spans="3:22" ht="15" customHeight="1" x14ac:dyDescent="0.2">
      <c r="C35" s="84"/>
      <c r="D35" s="38"/>
      <c r="E35" s="432"/>
      <c r="F35" s="492" t="s">
        <v>805</v>
      </c>
      <c r="G35" s="492"/>
      <c r="H35" s="492"/>
      <c r="I35" s="158">
        <f>EA!J21</f>
        <v>0</v>
      </c>
      <c r="J35" s="158">
        <f>SUM('BALANZA COMPROBACION'!E510:E511)</f>
        <v>0</v>
      </c>
      <c r="K35" s="38"/>
      <c r="L35" s="38"/>
      <c r="M35" s="432" t="s">
        <v>745</v>
      </c>
      <c r="N35" s="432"/>
      <c r="O35" s="432"/>
      <c r="P35" s="432"/>
      <c r="Q35" s="443">
        <f>ROUND(Q36+Q39,2)</f>
        <v>38183165.32</v>
      </c>
      <c r="R35" s="443">
        <f>ROUND(R36+R39,2)</f>
        <v>62201957.240000002</v>
      </c>
      <c r="S35" s="35"/>
      <c r="T35" s="22"/>
    </row>
    <row r="36" spans="3:22" ht="15" customHeight="1" x14ac:dyDescent="0.2">
      <c r="C36" s="84"/>
      <c r="D36" s="38"/>
      <c r="E36" s="432"/>
      <c r="F36" s="492" t="s">
        <v>645</v>
      </c>
      <c r="G36" s="492"/>
      <c r="H36" s="492"/>
      <c r="I36" s="158">
        <f>EA!J22</f>
        <v>106231346.73</v>
      </c>
      <c r="J36" s="158">
        <f>SUM('BALANZA COMPROBACION'!E512:E515)</f>
        <v>79276043.329999998</v>
      </c>
      <c r="K36" s="38"/>
      <c r="L36" s="38"/>
      <c r="M36" s="22"/>
      <c r="N36" s="433" t="s">
        <v>806</v>
      </c>
      <c r="O36" s="433"/>
      <c r="P36" s="433"/>
      <c r="Q36" s="444">
        <f>ROUND(SUM(Q37:Q38),2)</f>
        <v>0</v>
      </c>
      <c r="R36" s="444">
        <f>ROUND(SUM(R37:R38),2)</f>
        <v>0</v>
      </c>
      <c r="S36" s="35"/>
      <c r="T36" s="22"/>
    </row>
    <row r="37" spans="3:22" ht="15" customHeight="1" x14ac:dyDescent="0.2">
      <c r="C37" s="84"/>
      <c r="D37" s="38"/>
      <c r="E37" s="432"/>
      <c r="F37" s="492" t="s">
        <v>647</v>
      </c>
      <c r="G37" s="492"/>
      <c r="H37" s="492"/>
      <c r="I37" s="158">
        <f>EA!J23</f>
        <v>70347924.769999996</v>
      </c>
      <c r="J37" s="158">
        <f>SUM('BALANZA COMPROBACION'!E516:E518)</f>
        <v>61477935.490000002</v>
      </c>
      <c r="K37" s="38"/>
      <c r="L37" s="38"/>
      <c r="M37" s="432"/>
      <c r="N37" s="433" t="s">
        <v>801</v>
      </c>
      <c r="O37" s="433"/>
      <c r="P37" s="433"/>
      <c r="Q37" s="287">
        <v>0</v>
      </c>
      <c r="R37" s="287"/>
      <c r="S37" s="35"/>
      <c r="T37" s="22"/>
    </row>
    <row r="38" spans="3:22" ht="15" customHeight="1" x14ac:dyDescent="0.2">
      <c r="C38" s="84"/>
      <c r="D38" s="38"/>
      <c r="E38" s="432"/>
      <c r="F38" s="492" t="s">
        <v>649</v>
      </c>
      <c r="G38" s="492"/>
      <c r="H38" s="492"/>
      <c r="I38" s="158">
        <f>EA!J24</f>
        <v>0</v>
      </c>
      <c r="J38" s="158">
        <f>SUM('BALANZA COMPROBACION'!E519:E520)</f>
        <v>0</v>
      </c>
      <c r="K38" s="38"/>
      <c r="L38" s="22"/>
      <c r="M38" s="432"/>
      <c r="N38" s="433" t="s">
        <v>802</v>
      </c>
      <c r="O38" s="433"/>
      <c r="P38" s="433"/>
      <c r="Q38" s="287">
        <v>0</v>
      </c>
      <c r="R38" s="287"/>
      <c r="S38" s="35"/>
      <c r="T38" s="22"/>
    </row>
    <row r="39" spans="3:22" ht="15" customHeight="1" x14ac:dyDescent="0.2">
      <c r="C39" s="84"/>
      <c r="D39" s="38"/>
      <c r="E39" s="432"/>
      <c r="F39" s="492" t="s">
        <v>651</v>
      </c>
      <c r="G39" s="492"/>
      <c r="H39" s="492"/>
      <c r="I39" s="158">
        <f>EA!J25</f>
        <v>0</v>
      </c>
      <c r="J39" s="158">
        <f>SUM('BALANZA COMPROBACION'!E521)</f>
        <v>0</v>
      </c>
      <c r="K39" s="38"/>
      <c r="L39" s="38"/>
      <c r="M39" s="432"/>
      <c r="N39" s="497" t="s">
        <v>807</v>
      </c>
      <c r="O39" s="497"/>
      <c r="P39" s="497"/>
      <c r="Q39" s="287">
        <v>38183165.32</v>
      </c>
      <c r="R39" s="287">
        <v>62201957.240000002</v>
      </c>
      <c r="S39" s="35"/>
      <c r="T39" s="22"/>
    </row>
    <row r="40" spans="3:22" ht="15" customHeight="1" x14ac:dyDescent="0.2">
      <c r="C40" s="84"/>
      <c r="D40" s="38"/>
      <c r="E40" s="432"/>
      <c r="F40" s="492" t="s">
        <v>652</v>
      </c>
      <c r="G40" s="492"/>
      <c r="H40" s="492"/>
      <c r="I40" s="158">
        <f>EA!J26</f>
        <v>0</v>
      </c>
      <c r="J40" s="158">
        <f>SUM('BALANZA COMPROBACION'!E522:E526)</f>
        <v>0</v>
      </c>
      <c r="K40" s="38"/>
      <c r="L40" s="38"/>
      <c r="M40" s="157"/>
      <c r="S40" s="35"/>
      <c r="T40" s="22"/>
    </row>
    <row r="41" spans="3:22" ht="15" customHeight="1" x14ac:dyDescent="0.2">
      <c r="C41" s="84"/>
      <c r="D41" s="38"/>
      <c r="E41" s="432"/>
      <c r="F41" s="492" t="s">
        <v>654</v>
      </c>
      <c r="G41" s="492"/>
      <c r="H41" s="492"/>
      <c r="I41" s="158">
        <f>EA!J27</f>
        <v>0</v>
      </c>
      <c r="J41" s="158">
        <f>SUM('BALANZA COMPROBACION'!E527:E528)</f>
        <v>0</v>
      </c>
      <c r="K41" s="38"/>
      <c r="L41" s="38"/>
      <c r="M41" s="494" t="s">
        <v>808</v>
      </c>
      <c r="N41" s="494"/>
      <c r="O41" s="494"/>
      <c r="P41" s="494"/>
      <c r="Q41" s="443">
        <f>ROUND(Q29-Q35,2)</f>
        <v>-6699275.4500000002</v>
      </c>
      <c r="R41" s="443">
        <f>ROUND(R29-R35,2)</f>
        <v>-16018083.24</v>
      </c>
      <c r="S41" s="35"/>
      <c r="T41" s="22"/>
    </row>
    <row r="42" spans="3:22" ht="15" hidden="1" customHeight="1" x14ac:dyDescent="0.2">
      <c r="C42" s="84"/>
      <c r="D42" s="38"/>
      <c r="E42" s="105"/>
      <c r="F42" s="38"/>
      <c r="G42" s="105"/>
      <c r="H42" s="105"/>
      <c r="I42" s="157"/>
      <c r="J42" s="158">
        <f>SUM('BALANZA COMPROBACION'!E530:E531)</f>
        <v>0</v>
      </c>
      <c r="K42" s="38"/>
      <c r="L42" s="38"/>
      <c r="S42" s="35"/>
      <c r="T42" s="22"/>
    </row>
    <row r="43" spans="3:22" ht="15" customHeight="1" x14ac:dyDescent="0.2">
      <c r="C43" s="84"/>
      <c r="D43" s="38"/>
      <c r="E43" s="432"/>
      <c r="F43" s="492" t="s">
        <v>809</v>
      </c>
      <c r="G43" s="492"/>
      <c r="H43" s="492"/>
      <c r="I43" s="158">
        <f>EA!J30</f>
        <v>0</v>
      </c>
      <c r="J43" s="158">
        <f>SUM('BALANZA COMPROBACION'!E529:E530)</f>
        <v>0</v>
      </c>
      <c r="K43" s="38"/>
      <c r="L43" s="38"/>
      <c r="S43" s="35"/>
      <c r="T43" s="22"/>
    </row>
    <row r="44" spans="3:22" ht="15" customHeight="1" x14ac:dyDescent="0.2">
      <c r="C44" s="84"/>
      <c r="D44" s="38"/>
      <c r="E44" s="432"/>
      <c r="F44" s="492" t="s">
        <v>784</v>
      </c>
      <c r="G44" s="492"/>
      <c r="H44" s="492"/>
      <c r="I44" s="158">
        <f>EA!J31</f>
        <v>0</v>
      </c>
      <c r="J44" s="158">
        <f>SUM('BALANZA COMPROBACION'!E531:E532)</f>
        <v>0</v>
      </c>
      <c r="K44" s="38"/>
      <c r="L44" s="493" t="s">
        <v>810</v>
      </c>
      <c r="M44" s="493"/>
      <c r="N44" s="493"/>
      <c r="O44" s="493"/>
      <c r="P44" s="493"/>
      <c r="Q44" s="159">
        <f>ROUND(I49+Q24+Q41,2)</f>
        <v>-3923835.19</v>
      </c>
      <c r="R44" s="159">
        <f>ROUND(J49+R24+R41,2)</f>
        <v>-17931775.100000001</v>
      </c>
      <c r="S44" s="35"/>
      <c r="T44" s="22"/>
    </row>
    <row r="45" spans="3:22" ht="15" customHeight="1" x14ac:dyDescent="0.2">
      <c r="C45" s="84"/>
      <c r="D45" s="38"/>
      <c r="E45" s="432"/>
      <c r="F45" s="492" t="s">
        <v>662</v>
      </c>
      <c r="G45" s="492"/>
      <c r="H45" s="492"/>
      <c r="I45" s="158">
        <f>EA!J32</f>
        <v>0</v>
      </c>
      <c r="J45" s="158">
        <f>SUM('BALANZA COMPROBACION'!E533:E534)</f>
        <v>0</v>
      </c>
      <c r="K45" s="38"/>
      <c r="S45" s="35"/>
      <c r="T45" s="22"/>
    </row>
    <row r="46" spans="3:22" ht="15" hidden="1" customHeight="1" x14ac:dyDescent="0.2">
      <c r="C46" s="84"/>
      <c r="D46" s="38"/>
      <c r="E46" s="157"/>
      <c r="F46" s="157"/>
      <c r="G46" s="157"/>
      <c r="H46" s="157"/>
      <c r="I46" s="288"/>
      <c r="J46" s="288"/>
      <c r="K46" s="38"/>
      <c r="S46" s="35"/>
      <c r="T46" s="22"/>
    </row>
    <row r="47" spans="3:22" ht="15" customHeight="1" x14ac:dyDescent="0.2">
      <c r="C47" s="84"/>
      <c r="D47" s="38"/>
      <c r="E47" s="432"/>
      <c r="F47" s="492" t="s">
        <v>811</v>
      </c>
      <c r="G47" s="492"/>
      <c r="H47" s="492"/>
      <c r="I47" s="287">
        <v>85716362.400000006</v>
      </c>
      <c r="J47" s="287">
        <v>102799381.95999999</v>
      </c>
      <c r="K47" s="38"/>
      <c r="S47" s="35"/>
      <c r="T47" s="22"/>
    </row>
    <row r="48" spans="3:22" x14ac:dyDescent="0.2">
      <c r="C48" s="84"/>
      <c r="D48" s="38"/>
      <c r="E48" s="105"/>
      <c r="F48" s="38"/>
      <c r="G48" s="105"/>
      <c r="H48" s="105"/>
      <c r="I48" s="157"/>
      <c r="J48" s="157"/>
      <c r="K48" s="38"/>
      <c r="L48" s="493" t="s">
        <v>812</v>
      </c>
      <c r="M48" s="493"/>
      <c r="N48" s="493"/>
      <c r="O48" s="493"/>
      <c r="P48" s="493"/>
      <c r="Q48" s="159">
        <f>ESFD!D16</f>
        <v>12381117.210000001</v>
      </c>
      <c r="R48" s="159">
        <f>'ESF (2)'!F16</f>
        <v>30312892.309999999</v>
      </c>
      <c r="S48" s="35"/>
      <c r="T48" s="22"/>
      <c r="V48" s="140" t="str">
        <f>IF(R49=ESFD!D16," "," ERROR SALDO FINAL 2016 POR: "&amp;R49-ESFD!D16)</f>
        <v xml:space="preserve"> </v>
      </c>
    </row>
    <row r="49" spans="1:22" s="163" customFormat="1" x14ac:dyDescent="0.2">
      <c r="A49" s="214"/>
      <c r="B49" s="214"/>
      <c r="C49" s="160"/>
      <c r="D49" s="161"/>
      <c r="E49" s="494" t="s">
        <v>813</v>
      </c>
      <c r="F49" s="494"/>
      <c r="G49" s="494"/>
      <c r="H49" s="494"/>
      <c r="I49" s="159">
        <f>ROUND(I15-I28,2)</f>
        <v>-42133210.119999997</v>
      </c>
      <c r="J49" s="159">
        <f>J15-J28</f>
        <v>-84504930.86000061</v>
      </c>
      <c r="K49" s="161"/>
      <c r="L49" s="493" t="s">
        <v>814</v>
      </c>
      <c r="M49" s="493"/>
      <c r="N49" s="493"/>
      <c r="O49" s="493"/>
      <c r="P49" s="493"/>
      <c r="Q49" s="159">
        <f>ROUND(+Q48+Q44,2)</f>
        <v>8457282.0199999996</v>
      </c>
      <c r="R49" s="159">
        <f>+R44+R48</f>
        <v>12381117.209999997</v>
      </c>
      <c r="S49" s="162"/>
      <c r="T49" s="216"/>
      <c r="V49" s="140" t="str">
        <f>IF(Q49=ESF!E17," "," ERROR SALDO FINAL 2016 POR: "&amp;Q49-ESF!E17)</f>
        <v xml:space="preserve"> </v>
      </c>
    </row>
    <row r="50" spans="1:22" s="163" customFormat="1" x14ac:dyDescent="0.2">
      <c r="A50" s="214"/>
      <c r="B50" s="214"/>
      <c r="C50" s="160"/>
      <c r="D50" s="161"/>
      <c r="E50" s="432"/>
      <c r="F50" s="432"/>
      <c r="G50" s="432"/>
      <c r="H50" s="432"/>
      <c r="I50" s="159"/>
      <c r="J50" s="159"/>
      <c r="K50" s="161"/>
      <c r="L50" s="214"/>
      <c r="M50" s="214"/>
      <c r="N50" s="214"/>
      <c r="O50" s="214"/>
      <c r="P50" s="214"/>
      <c r="Q50" s="214"/>
      <c r="R50" s="214"/>
      <c r="S50" s="162"/>
      <c r="T50" s="216"/>
    </row>
    <row r="51" spans="1:22" ht="14.25" customHeight="1" x14ac:dyDescent="0.2">
      <c r="C51" s="97"/>
      <c r="D51" s="98"/>
      <c r="E51" s="164"/>
      <c r="F51" s="164"/>
      <c r="G51" s="164"/>
      <c r="H51" s="164"/>
      <c r="I51" s="165"/>
      <c r="J51" s="165"/>
      <c r="K51" s="98"/>
      <c r="L51" s="59"/>
      <c r="M51" s="59"/>
      <c r="N51" s="59"/>
      <c r="O51" s="59"/>
      <c r="P51" s="59"/>
      <c r="Q51" s="59"/>
      <c r="R51" s="59"/>
      <c r="S51" s="61"/>
      <c r="T51" s="22"/>
    </row>
    <row r="52" spans="1:22" ht="15" customHeight="1" x14ac:dyDescent="0.2">
      <c r="C52" s="22"/>
      <c r="D52" s="47" t="s">
        <v>681</v>
      </c>
      <c r="E52" s="47"/>
      <c r="F52" s="47"/>
      <c r="G52" s="47"/>
      <c r="H52" s="47"/>
      <c r="I52" s="47"/>
      <c r="J52" s="47"/>
      <c r="K52" s="47"/>
      <c r="L52" s="47"/>
      <c r="M52" s="22"/>
      <c r="N52" s="22"/>
      <c r="O52" s="22"/>
      <c r="P52" s="22"/>
      <c r="Q52" s="166" t="str">
        <f>IF(Q48=ESFD!D16," ","ERROR SALDO FINAL 2016")</f>
        <v xml:space="preserve"> </v>
      </c>
      <c r="R52" s="22"/>
      <c r="S52" s="22"/>
      <c r="T52" s="22"/>
    </row>
    <row r="53" spans="1:22" ht="15" customHeight="1" x14ac:dyDescent="0.2">
      <c r="C53" s="22"/>
      <c r="D53" s="47"/>
      <c r="E53" s="47"/>
      <c r="F53" s="47"/>
      <c r="G53" s="47"/>
      <c r="H53" s="47"/>
      <c r="I53" s="47"/>
      <c r="J53" s="47"/>
      <c r="K53" s="47"/>
      <c r="L53" s="47"/>
      <c r="M53" s="22"/>
      <c r="N53" s="22"/>
      <c r="O53" s="22"/>
      <c r="P53" s="22"/>
      <c r="Q53" s="166"/>
      <c r="R53" s="22"/>
      <c r="S53" s="22"/>
      <c r="T53" s="22"/>
    </row>
    <row r="54" spans="1:22" ht="15" customHeight="1" x14ac:dyDescent="0.2">
      <c r="C54" s="22"/>
      <c r="D54" s="47"/>
      <c r="E54" s="47"/>
      <c r="F54" s="47"/>
      <c r="G54" s="47"/>
      <c r="H54" s="47"/>
      <c r="I54" s="47"/>
      <c r="J54" s="47"/>
      <c r="K54" s="47"/>
      <c r="L54" s="47"/>
      <c r="M54" s="22"/>
      <c r="N54" s="22"/>
      <c r="O54" s="22"/>
      <c r="P54" s="22"/>
      <c r="Q54" s="166"/>
      <c r="R54" s="22"/>
      <c r="S54" s="22"/>
      <c r="T54" s="22"/>
    </row>
    <row r="55" spans="1:22" ht="15" customHeight="1" x14ac:dyDescent="0.2">
      <c r="C55" s="22"/>
      <c r="D55" s="47"/>
      <c r="E55" s="47"/>
      <c r="F55" s="47"/>
      <c r="G55" s="47"/>
      <c r="H55" s="47"/>
      <c r="I55" s="47"/>
      <c r="J55" s="47"/>
      <c r="K55" s="47"/>
      <c r="L55" s="47"/>
      <c r="M55" s="22"/>
      <c r="N55" s="22"/>
      <c r="O55" s="22"/>
      <c r="P55" s="22"/>
      <c r="Q55" s="416"/>
      <c r="R55" s="22"/>
      <c r="S55" s="22"/>
      <c r="T55" s="22"/>
    </row>
    <row r="56" spans="1:22" ht="22.5" customHeight="1" x14ac:dyDescent="0.2">
      <c r="C56" s="22"/>
      <c r="D56" s="47"/>
      <c r="E56" s="67"/>
      <c r="F56" s="68"/>
      <c r="G56" s="68"/>
      <c r="H56" s="22"/>
      <c r="I56" s="69"/>
      <c r="J56" s="67"/>
      <c r="K56" s="68"/>
      <c r="L56" s="68"/>
      <c r="M56" s="22"/>
      <c r="N56" s="22"/>
      <c r="O56" s="22"/>
      <c r="P56" s="22"/>
      <c r="R56" s="22"/>
      <c r="S56" s="22"/>
      <c r="T56" s="22"/>
    </row>
    <row r="57" spans="1:22" ht="29.25" customHeight="1" x14ac:dyDescent="0.2">
      <c r="C57" s="22"/>
      <c r="D57" s="47"/>
      <c r="E57" s="67"/>
      <c r="F57" s="495"/>
      <c r="G57" s="495"/>
      <c r="H57" s="495"/>
      <c r="I57" s="495"/>
      <c r="J57" s="67"/>
      <c r="K57" s="68"/>
      <c r="L57" s="68"/>
      <c r="M57" s="22"/>
      <c r="N57" s="496"/>
      <c r="O57" s="496"/>
      <c r="P57" s="496"/>
      <c r="Q57" s="496"/>
      <c r="R57" s="22"/>
      <c r="S57" s="22"/>
      <c r="T57" s="22"/>
    </row>
    <row r="58" spans="1:22" ht="14.1" customHeight="1" x14ac:dyDescent="0.2">
      <c r="C58" s="22"/>
      <c r="D58" s="71"/>
      <c r="E58" s="22"/>
      <c r="F58" s="466" t="str">
        <f>ENTE!D10</f>
        <v>ING. ENRIQUE DE ECHAVARRI LARY</v>
      </c>
      <c r="G58" s="466"/>
      <c r="H58" s="466"/>
      <c r="I58" s="466"/>
      <c r="J58" s="22"/>
      <c r="K58" s="72"/>
      <c r="L58" s="22"/>
      <c r="M58" s="28"/>
      <c r="N58" s="466" t="str">
        <f>ENTE!D14</f>
        <v>LIC. RICARDO SALVADOR BACA MUÑOZ</v>
      </c>
      <c r="O58" s="466"/>
      <c r="P58" s="466"/>
      <c r="Q58" s="466"/>
      <c r="R58" s="22"/>
      <c r="S58" s="22"/>
      <c r="T58" s="22"/>
    </row>
    <row r="59" spans="1:22" ht="14.1" customHeight="1" x14ac:dyDescent="0.2">
      <c r="C59" s="22"/>
      <c r="D59" s="73"/>
      <c r="E59" s="22"/>
      <c r="F59" s="467" t="str">
        <f>ENTE!D12</f>
        <v>COORDINADOR GENERAL</v>
      </c>
      <c r="G59" s="467"/>
      <c r="H59" s="467"/>
      <c r="I59" s="467"/>
      <c r="J59" s="22"/>
      <c r="K59" s="72"/>
      <c r="L59" s="22"/>
      <c r="N59" s="467" t="str">
        <f>ENTE!D16</f>
        <v>DIRECTOR DE ADMINISTRACIÓN</v>
      </c>
      <c r="O59" s="467"/>
      <c r="P59" s="467"/>
      <c r="Q59" s="467"/>
      <c r="R59" s="22"/>
      <c r="S59" s="22"/>
      <c r="T59" s="22"/>
    </row>
  </sheetData>
  <sheetProtection password="88C8" sheet="1" objects="1" scenarios="1" selectLockedCells="1"/>
  <mergeCells count="60">
    <mergeCell ref="D5:S5"/>
    <mergeCell ref="D3:S3"/>
    <mergeCell ref="D4:S4"/>
    <mergeCell ref="D2:R2"/>
    <mergeCell ref="D7:F7"/>
    <mergeCell ref="G7:Q7"/>
    <mergeCell ref="D10:G10"/>
    <mergeCell ref="L10:O10"/>
    <mergeCell ref="D13:H13"/>
    <mergeCell ref="L13:P13"/>
    <mergeCell ref="F22:H22"/>
    <mergeCell ref="N22:P22"/>
    <mergeCell ref="E15:H15"/>
    <mergeCell ref="M15:P15"/>
    <mergeCell ref="F16:H16"/>
    <mergeCell ref="N16:P16"/>
    <mergeCell ref="F17:H17"/>
    <mergeCell ref="N17:P17"/>
    <mergeCell ref="F18:H18"/>
    <mergeCell ref="N18:P18"/>
    <mergeCell ref="F19:H19"/>
    <mergeCell ref="F20:H20"/>
    <mergeCell ref="F21:H21"/>
    <mergeCell ref="F33:H33"/>
    <mergeCell ref="N33:P33"/>
    <mergeCell ref="F23:H23"/>
    <mergeCell ref="N23:P23"/>
    <mergeCell ref="F24:H24"/>
    <mergeCell ref="M24:P24"/>
    <mergeCell ref="F25:H25"/>
    <mergeCell ref="F26:G26"/>
    <mergeCell ref="L27:P27"/>
    <mergeCell ref="E28:H28"/>
    <mergeCell ref="F29:H29"/>
    <mergeCell ref="F30:H30"/>
    <mergeCell ref="F31:H31"/>
    <mergeCell ref="F44:H44"/>
    <mergeCell ref="L44:P44"/>
    <mergeCell ref="F34:H34"/>
    <mergeCell ref="F35:H35"/>
    <mergeCell ref="F36:H36"/>
    <mergeCell ref="F37:H37"/>
    <mergeCell ref="F38:H38"/>
    <mergeCell ref="F39:H39"/>
    <mergeCell ref="N39:P39"/>
    <mergeCell ref="F40:H40"/>
    <mergeCell ref="F41:H41"/>
    <mergeCell ref="M41:P41"/>
    <mergeCell ref="F43:H43"/>
    <mergeCell ref="F58:I58"/>
    <mergeCell ref="N58:Q58"/>
    <mergeCell ref="F59:I59"/>
    <mergeCell ref="N59:Q59"/>
    <mergeCell ref="F45:H45"/>
    <mergeCell ref="F47:H47"/>
    <mergeCell ref="L48:P48"/>
    <mergeCell ref="E49:H49"/>
    <mergeCell ref="L49:P49"/>
    <mergeCell ref="F57:I57"/>
    <mergeCell ref="N57:Q57"/>
  </mergeCells>
  <pageMargins left="0.70866141732283472" right="0.70866141732283472" top="0.74803149606299213" bottom="0.74803149606299213" header="0.31496062992125984" footer="0.31496062992125984"/>
  <pageSetup scale="55" orientation="landscape" r:id="rId1"/>
  <headerFooter>
    <oddFooter>&amp;C&amp;A&amp;RPágina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B2:Q43"/>
  <sheetViews>
    <sheetView showGridLines="0" view="pageBreakPreview" zoomScaleSheetLayoutView="100" workbookViewId="0">
      <selection activeCell="H36" sqref="H36"/>
    </sheetView>
  </sheetViews>
  <sheetFormatPr baseColWidth="10" defaultRowHeight="12" x14ac:dyDescent="0.2"/>
  <cols>
    <col min="1" max="1" width="2.140625" style="23" customWidth="1"/>
    <col min="2" max="2" width="1.140625" style="23" customWidth="1"/>
    <col min="3" max="3" width="11.7109375" style="23" customWidth="1"/>
    <col min="4" max="4" width="33.140625" style="23" customWidth="1"/>
    <col min="5" max="5" width="21" style="130" customWidth="1"/>
    <col min="6" max="7" width="21" style="23" customWidth="1"/>
    <col min="8" max="8" width="1.140625" style="23" customWidth="1"/>
    <col min="9" max="9" width="1.85546875" style="23" customWidth="1"/>
    <col min="10" max="10" width="11.42578125" style="23" customWidth="1"/>
    <col min="11" max="11" width="4.42578125" style="23" customWidth="1"/>
    <col min="12" max="12" width="19.7109375" style="23" bestFit="1" customWidth="1"/>
    <col min="13" max="16384" width="11.42578125" style="23"/>
  </cols>
  <sheetData>
    <row r="2" spans="2:17" s="22" customFormat="1" ht="12" hidden="1" customHeight="1" x14ac:dyDescent="0.2">
      <c r="C2" s="474"/>
      <c r="D2" s="474"/>
      <c r="E2" s="474"/>
      <c r="F2" s="474"/>
      <c r="G2" s="474"/>
      <c r="H2" s="474"/>
      <c r="I2" s="206"/>
      <c r="J2" s="206"/>
      <c r="K2" s="206"/>
      <c r="L2" s="206"/>
      <c r="M2" s="206"/>
      <c r="N2" s="206"/>
      <c r="O2" s="206"/>
      <c r="P2" s="206"/>
      <c r="Q2" s="206"/>
    </row>
    <row r="3" spans="2:17" s="22" customFormat="1" ht="12" customHeight="1" x14ac:dyDescent="0.2">
      <c r="C3" s="480" t="s">
        <v>757</v>
      </c>
      <c r="D3" s="480"/>
      <c r="E3" s="480"/>
      <c r="F3" s="480"/>
      <c r="G3" s="480"/>
      <c r="H3" s="480"/>
      <c r="I3" s="23"/>
      <c r="J3" s="23"/>
    </row>
    <row r="4" spans="2:17" s="22" customFormat="1" ht="12" customHeight="1" x14ac:dyDescent="0.2">
      <c r="C4" s="480" t="str">
        <f>"Del 1 de enero al "&amp;TEXT(INDEX(Periodos,ENTE!D18,1),"dd")&amp;" de "&amp;TEXT(INDEX(Periodos,ENTE!D18,1),"mmmm")&amp;" de "&amp;TEXT(INDEX(Periodos,ENTE!D18,1),"aaaa")&amp;""</f>
        <v>Del 1 de enero al 31 de diciembre de 2018</v>
      </c>
      <c r="D4" s="480"/>
      <c r="E4" s="480"/>
      <c r="F4" s="480"/>
      <c r="G4" s="480"/>
      <c r="H4" s="480"/>
      <c r="I4" s="23"/>
      <c r="J4" s="23"/>
    </row>
    <row r="5" spans="2:17" s="22" customFormat="1" ht="12" customHeight="1" x14ac:dyDescent="0.2">
      <c r="C5" s="480" t="s">
        <v>624</v>
      </c>
      <c r="D5" s="480"/>
      <c r="E5" s="480"/>
      <c r="F5" s="480"/>
      <c r="G5" s="480"/>
      <c r="H5" s="480"/>
      <c r="I5" s="23"/>
      <c r="J5" s="23"/>
    </row>
    <row r="6" spans="2:17" s="22" customFormat="1" ht="12" customHeight="1" x14ac:dyDescent="0.2">
      <c r="C6" s="321"/>
      <c r="D6" s="321"/>
      <c r="E6" s="321"/>
      <c r="F6" s="321"/>
      <c r="G6" s="321"/>
      <c r="H6" s="321"/>
      <c r="I6" s="23"/>
      <c r="J6" s="23"/>
    </row>
    <row r="7" spans="2:17" s="22" customFormat="1" ht="12" customHeight="1" x14ac:dyDescent="0.2">
      <c r="B7" s="78"/>
      <c r="C7" s="325" t="s">
        <v>6</v>
      </c>
      <c r="D7" s="477" t="str">
        <f>ENTE!D8</f>
        <v>UNIDAD DE SERVICIOS PARA LA EDUCACIÓN BÁSICA EN EL ESTADO DE QUERÉTARO</v>
      </c>
      <c r="E7" s="477"/>
      <c r="F7" s="477"/>
      <c r="G7" s="477"/>
      <c r="H7" s="477"/>
      <c r="I7" s="116"/>
      <c r="J7" s="116"/>
      <c r="K7" s="117"/>
      <c r="L7" s="117"/>
    </row>
    <row r="8" spans="2:17" s="22" customFormat="1" ht="6.75" customHeight="1" x14ac:dyDescent="0.2">
      <c r="B8" s="481"/>
      <c r="C8" s="481"/>
      <c r="D8" s="481"/>
      <c r="E8" s="481"/>
      <c r="F8" s="481"/>
      <c r="G8" s="481"/>
      <c r="H8" s="481"/>
    </row>
    <row r="9" spans="2:17" s="22" customFormat="1" ht="3" customHeight="1" x14ac:dyDescent="0.2">
      <c r="B9" s="481"/>
      <c r="C9" s="481"/>
      <c r="D9" s="481"/>
      <c r="E9" s="481"/>
      <c r="F9" s="481"/>
      <c r="G9" s="481"/>
      <c r="H9" s="481"/>
    </row>
    <row r="10" spans="2:17" s="118" customFormat="1" x14ac:dyDescent="0.2">
      <c r="B10" s="180"/>
      <c r="C10" s="507" t="s">
        <v>758</v>
      </c>
      <c r="D10" s="507"/>
      <c r="E10" s="181" t="s">
        <v>748</v>
      </c>
      <c r="F10" s="327" t="s">
        <v>759</v>
      </c>
      <c r="G10" s="327" t="s">
        <v>751</v>
      </c>
      <c r="H10" s="184"/>
    </row>
    <row r="11" spans="2:17" s="118" customFormat="1" x14ac:dyDescent="0.2">
      <c r="B11" s="182"/>
      <c r="C11" s="508"/>
      <c r="D11" s="508"/>
      <c r="E11" s="183">
        <v>1</v>
      </c>
      <c r="F11" s="328">
        <v>2</v>
      </c>
      <c r="G11" s="328" t="s">
        <v>760</v>
      </c>
      <c r="H11" s="185"/>
    </row>
    <row r="12" spans="2:17" s="22" customFormat="1" ht="3" customHeight="1" x14ac:dyDescent="0.2">
      <c r="B12" s="509"/>
      <c r="C12" s="481"/>
      <c r="D12" s="481"/>
      <c r="E12" s="481"/>
      <c r="F12" s="481"/>
      <c r="G12" s="481"/>
      <c r="H12" s="510"/>
    </row>
    <row r="13" spans="2:17" s="22" customFormat="1" ht="3" customHeight="1" x14ac:dyDescent="0.2">
      <c r="B13" s="511"/>
      <c r="C13" s="512"/>
      <c r="D13" s="512"/>
      <c r="E13" s="512"/>
      <c r="F13" s="512"/>
      <c r="G13" s="512"/>
      <c r="H13" s="513"/>
      <c r="I13" s="23"/>
      <c r="J13" s="23"/>
    </row>
    <row r="14" spans="2:17" s="22" customFormat="1" x14ac:dyDescent="0.2">
      <c r="B14" s="88"/>
      <c r="C14" s="506" t="s">
        <v>845</v>
      </c>
      <c r="D14" s="506"/>
      <c r="E14" s="335">
        <f>+E17+E16</f>
        <v>0</v>
      </c>
      <c r="F14" s="335">
        <f>+F17+F16</f>
        <v>0</v>
      </c>
      <c r="G14" s="335">
        <f>+G17+G16</f>
        <v>0</v>
      </c>
      <c r="H14" s="119"/>
      <c r="I14" s="23"/>
      <c r="J14" s="120"/>
    </row>
    <row r="15" spans="2:17" s="22" customFormat="1" ht="5.0999999999999996" customHeight="1" x14ac:dyDescent="0.2">
      <c r="B15" s="88"/>
      <c r="C15" s="121"/>
      <c r="D15" s="121"/>
      <c r="E15" s="335"/>
      <c r="F15" s="335"/>
      <c r="G15" s="335"/>
      <c r="H15" s="119"/>
      <c r="I15" s="23"/>
      <c r="J15" s="23"/>
    </row>
    <row r="16" spans="2:17" s="22" customFormat="1" x14ac:dyDescent="0.2">
      <c r="B16" s="122"/>
      <c r="C16" s="464" t="s">
        <v>846</v>
      </c>
      <c r="D16" s="464"/>
      <c r="E16" s="129">
        <f>-'BALANZA COMPROBACION'!E356</f>
        <v>0</v>
      </c>
      <c r="F16" s="129">
        <f>-('BALANZA COMPROBACION'!F356-'BALANZA COMPROBACION'!G356)</f>
        <v>0</v>
      </c>
      <c r="G16" s="129">
        <f>ROUND(E16+F16,2)</f>
        <v>0</v>
      </c>
      <c r="H16" s="124"/>
      <c r="I16" s="125"/>
      <c r="J16" s="120"/>
    </row>
    <row r="17" spans="2:13" s="22" customFormat="1" x14ac:dyDescent="0.2">
      <c r="B17" s="122"/>
      <c r="C17" s="464" t="s">
        <v>835</v>
      </c>
      <c r="D17" s="464"/>
      <c r="E17" s="129">
        <f>-'BALANZA COMPROBACION'!E357</f>
        <v>0</v>
      </c>
      <c r="F17" s="129">
        <f>-('BALANZA COMPROBACION'!F357-'BALANZA COMPROBACION'!G357)</f>
        <v>0</v>
      </c>
      <c r="G17" s="129">
        <f>ROUND(E17+F17,2)</f>
        <v>0</v>
      </c>
      <c r="H17" s="124"/>
      <c r="I17" s="125"/>
      <c r="J17" s="120"/>
    </row>
    <row r="18" spans="2:13" s="22" customFormat="1" ht="5.0999999999999996" customHeight="1" x14ac:dyDescent="0.2">
      <c r="B18" s="84"/>
      <c r="C18" s="38"/>
      <c r="D18" s="38"/>
      <c r="E18" s="126"/>
      <c r="F18" s="126"/>
      <c r="G18" s="126"/>
      <c r="H18" s="43"/>
      <c r="I18" s="23"/>
      <c r="J18" s="120"/>
    </row>
    <row r="19" spans="2:13" s="22" customFormat="1" ht="12" customHeight="1" x14ac:dyDescent="0.2">
      <c r="B19" s="84"/>
      <c r="C19" s="506" t="s">
        <v>847</v>
      </c>
      <c r="D19" s="506"/>
      <c r="E19" s="123">
        <f>SUM(E21:E23)</f>
        <v>0</v>
      </c>
      <c r="F19" s="123">
        <f>SUM(F21:F23)</f>
        <v>0</v>
      </c>
      <c r="G19" s="123">
        <f>SUM(G21:G23)</f>
        <v>0</v>
      </c>
      <c r="H19" s="43"/>
      <c r="I19" s="125"/>
      <c r="J19" s="120"/>
      <c r="K19" s="127"/>
      <c r="L19" s="128"/>
    </row>
    <row r="20" spans="2:13" s="22" customFormat="1" ht="4.5" customHeight="1" x14ac:dyDescent="0.2">
      <c r="B20" s="84"/>
      <c r="C20" s="501"/>
      <c r="D20" s="501"/>
      <c r="E20" s="45"/>
      <c r="F20" s="37"/>
      <c r="G20" s="45"/>
      <c r="H20" s="43"/>
      <c r="I20" s="23"/>
      <c r="J20" s="120"/>
      <c r="K20" s="127"/>
    </row>
    <row r="21" spans="2:13" s="22" customFormat="1" ht="12" customHeight="1" x14ac:dyDescent="0.2">
      <c r="B21" s="84"/>
      <c r="C21" s="501" t="s">
        <v>848</v>
      </c>
      <c r="D21" s="501"/>
      <c r="E21" s="129">
        <f>-'BALANZA COMPROBACION'!E389</f>
        <v>0</v>
      </c>
      <c r="F21" s="129">
        <f>-('BALANZA COMPROBACION'!F389-'BALANZA COMPROBACION'!G389)</f>
        <v>0</v>
      </c>
      <c r="G21" s="129">
        <f>ROUND(E21+F21,2)</f>
        <v>0</v>
      </c>
      <c r="H21" s="43"/>
      <c r="I21" s="23"/>
      <c r="J21" s="120"/>
      <c r="K21" s="127"/>
    </row>
    <row r="22" spans="2:13" s="22" customFormat="1" ht="12" customHeight="1" x14ac:dyDescent="0.2">
      <c r="B22" s="84"/>
      <c r="C22" s="501" t="s">
        <v>836</v>
      </c>
      <c r="D22" s="501"/>
      <c r="E22" s="129">
        <f>-'BALANZA COMPROBACION'!E390</f>
        <v>0</v>
      </c>
      <c r="F22" s="129">
        <f>-('BALANZA COMPROBACION'!F390-'BALANZA COMPROBACION'!G390)</f>
        <v>0</v>
      </c>
      <c r="G22" s="129">
        <f>ROUND(E22+F22,2)</f>
        <v>0</v>
      </c>
      <c r="H22" s="43"/>
      <c r="I22" s="23"/>
      <c r="J22" s="120"/>
      <c r="K22" s="127"/>
    </row>
    <row r="23" spans="2:13" s="22" customFormat="1" ht="12" customHeight="1" x14ac:dyDescent="0.2">
      <c r="B23" s="84"/>
      <c r="C23" s="501" t="s">
        <v>837</v>
      </c>
      <c r="D23" s="501"/>
      <c r="E23" s="129">
        <f>-'BALANZA COMPROBACION'!E391</f>
        <v>0</v>
      </c>
      <c r="F23" s="129">
        <f>-('BALANZA COMPROBACION'!F391-'BALANZA COMPROBACION'!G391)</f>
        <v>0</v>
      </c>
      <c r="G23" s="129">
        <f>ROUND(E23+F23,2)</f>
        <v>0</v>
      </c>
      <c r="H23" s="43"/>
      <c r="I23" s="23"/>
      <c r="J23" s="120"/>
      <c r="K23" s="127"/>
      <c r="M23" s="22" t="s">
        <v>755</v>
      </c>
    </row>
    <row r="24" spans="2:13" s="22" customFormat="1" ht="19.5" customHeight="1" x14ac:dyDescent="0.2">
      <c r="B24" s="84"/>
      <c r="C24" s="501"/>
      <c r="D24" s="501"/>
      <c r="E24" s="45"/>
      <c r="F24" s="37"/>
      <c r="G24" s="45"/>
      <c r="H24" s="43"/>
      <c r="I24" s="23"/>
      <c r="J24" s="120"/>
      <c r="K24" s="127"/>
    </row>
    <row r="25" spans="2:13" s="22" customFormat="1" ht="19.5" customHeight="1" x14ac:dyDescent="0.2">
      <c r="B25" s="84"/>
      <c r="C25" s="506" t="s">
        <v>849</v>
      </c>
      <c r="D25" s="506"/>
      <c r="E25" s="53">
        <f>+E19+E14</f>
        <v>0</v>
      </c>
      <c r="F25" s="53">
        <f>+F19+F14</f>
        <v>0</v>
      </c>
      <c r="G25" s="53">
        <f>+G19+G14</f>
        <v>0</v>
      </c>
      <c r="H25" s="43"/>
      <c r="I25" s="23"/>
      <c r="J25" s="120"/>
      <c r="K25" s="127"/>
    </row>
    <row r="26" spans="2:13" ht="19.5" customHeight="1" x14ac:dyDescent="0.2">
      <c r="B26" s="84"/>
      <c r="C26" s="501"/>
      <c r="D26" s="501"/>
      <c r="E26" s="45"/>
      <c r="F26" s="37"/>
      <c r="G26" s="45"/>
      <c r="H26" s="43"/>
      <c r="J26" s="120"/>
      <c r="K26" s="127"/>
    </row>
    <row r="27" spans="2:13" x14ac:dyDescent="0.2">
      <c r="B27" s="84"/>
      <c r="C27" s="326"/>
      <c r="D27" s="326"/>
      <c r="E27" s="129"/>
      <c r="F27" s="129"/>
      <c r="G27" s="129"/>
      <c r="H27" s="43"/>
      <c r="J27" s="120"/>
      <c r="K27" s="127"/>
    </row>
    <row r="28" spans="2:13" x14ac:dyDescent="0.2">
      <c r="B28" s="122"/>
      <c r="C28" s="463"/>
      <c r="D28" s="463"/>
      <c r="E28" s="123"/>
      <c r="F28" s="123"/>
      <c r="G28" s="123"/>
      <c r="H28" s="124"/>
      <c r="J28" s="120"/>
      <c r="K28" s="127"/>
    </row>
    <row r="29" spans="2:13" ht="5.0999999999999996" customHeight="1" x14ac:dyDescent="0.2">
      <c r="B29" s="84"/>
      <c r="C29" s="38"/>
      <c r="D29" s="326"/>
      <c r="E29" s="126"/>
      <c r="F29" s="126"/>
      <c r="G29" s="126"/>
      <c r="H29" s="43"/>
      <c r="J29" s="120"/>
      <c r="K29" s="127"/>
    </row>
    <row r="30" spans="2:13" ht="19.5" customHeight="1" x14ac:dyDescent="0.2">
      <c r="B30" s="84"/>
      <c r="C30" s="501"/>
      <c r="D30" s="501"/>
      <c r="E30" s="45"/>
      <c r="F30" s="37"/>
      <c r="G30" s="45"/>
      <c r="H30" s="43"/>
      <c r="J30" s="120"/>
      <c r="K30" s="127"/>
    </row>
    <row r="31" spans="2:13" ht="19.5" customHeight="1" x14ac:dyDescent="0.2">
      <c r="B31" s="84"/>
      <c r="C31" s="501"/>
      <c r="D31" s="501"/>
      <c r="E31" s="45"/>
      <c r="F31" s="37"/>
      <c r="G31" s="45"/>
      <c r="H31" s="43"/>
      <c r="J31" s="120"/>
      <c r="K31" s="127"/>
    </row>
    <row r="32" spans="2:13" ht="19.5" customHeight="1" x14ac:dyDescent="0.2">
      <c r="B32" s="84"/>
      <c r="C32" s="501"/>
      <c r="D32" s="501"/>
      <c r="E32" s="45"/>
      <c r="F32" s="37"/>
      <c r="G32" s="45"/>
      <c r="H32" s="43"/>
      <c r="J32" s="120"/>
      <c r="K32" s="127"/>
    </row>
    <row r="33" spans="2:16" ht="19.5" customHeight="1" x14ac:dyDescent="0.2">
      <c r="B33" s="84"/>
      <c r="C33" s="501"/>
      <c r="D33" s="501"/>
      <c r="E33" s="45"/>
      <c r="F33" s="37"/>
      <c r="G33" s="45"/>
      <c r="H33" s="43"/>
      <c r="J33" s="120"/>
      <c r="K33" s="127"/>
    </row>
    <row r="34" spans="2:16" x14ac:dyDescent="0.2">
      <c r="B34" s="84"/>
      <c r="C34" s="326"/>
      <c r="D34" s="326"/>
      <c r="E34" s="129"/>
      <c r="F34" s="126"/>
      <c r="G34" s="126"/>
      <c r="H34" s="43"/>
      <c r="J34" s="120"/>
    </row>
    <row r="35" spans="2:16" ht="6" customHeight="1" x14ac:dyDescent="0.2">
      <c r="B35" s="502"/>
      <c r="C35" s="503"/>
      <c r="D35" s="503"/>
      <c r="E35" s="503"/>
      <c r="F35" s="503"/>
      <c r="G35" s="503"/>
      <c r="H35" s="504"/>
    </row>
    <row r="36" spans="2:16" ht="15" customHeight="1" x14ac:dyDescent="0.2">
      <c r="B36" s="22"/>
      <c r="C36" s="464" t="s">
        <v>681</v>
      </c>
      <c r="D36" s="464"/>
      <c r="E36" s="464"/>
      <c r="F36" s="464"/>
      <c r="G36" s="464"/>
      <c r="H36" s="47"/>
      <c r="I36" s="47"/>
      <c r="J36" s="22"/>
      <c r="K36" s="22"/>
      <c r="L36" s="22"/>
      <c r="M36" s="22"/>
      <c r="N36" s="22"/>
      <c r="O36" s="22"/>
      <c r="P36" s="22"/>
    </row>
    <row r="37" spans="2:16" ht="15" customHeight="1" x14ac:dyDescent="0.2">
      <c r="B37" s="22"/>
      <c r="C37" s="316"/>
      <c r="D37" s="316"/>
      <c r="E37" s="316"/>
      <c r="F37" s="316"/>
      <c r="G37" s="316"/>
      <c r="H37" s="47"/>
      <c r="I37" s="47"/>
      <c r="J37" s="22"/>
      <c r="K37" s="22"/>
      <c r="L37" s="22"/>
      <c r="M37" s="22"/>
      <c r="N37" s="22"/>
      <c r="O37" s="22"/>
      <c r="P37" s="22"/>
    </row>
    <row r="38" spans="2:16" ht="9.75" customHeight="1" x14ac:dyDescent="0.2">
      <c r="B38" s="22"/>
      <c r="C38" s="47"/>
      <c r="D38" s="67"/>
      <c r="E38" s="68"/>
      <c r="F38" s="22"/>
      <c r="G38" s="69"/>
      <c r="H38" s="68"/>
      <c r="I38" s="68"/>
      <c r="J38" s="22"/>
      <c r="K38" s="22"/>
      <c r="L38" s="22"/>
      <c r="M38" s="22"/>
      <c r="N38" s="22"/>
      <c r="O38" s="22"/>
      <c r="P38" s="22"/>
    </row>
    <row r="39" spans="2:16" ht="50.1" customHeight="1" x14ac:dyDescent="0.2">
      <c r="B39" s="22"/>
      <c r="C39" s="505"/>
      <c r="D39" s="505"/>
      <c r="E39" s="68"/>
      <c r="F39" s="496"/>
      <c r="G39" s="496"/>
      <c r="H39" s="68"/>
      <c r="I39" s="68"/>
      <c r="J39" s="22"/>
      <c r="K39" s="22"/>
      <c r="L39" s="22"/>
      <c r="M39" s="22"/>
      <c r="N39" s="22"/>
      <c r="O39" s="22"/>
      <c r="P39" s="22"/>
    </row>
    <row r="40" spans="2:16" ht="14.1" customHeight="1" x14ac:dyDescent="0.2">
      <c r="B40" s="22"/>
      <c r="C40" s="466" t="str">
        <f>ENTE!D10</f>
        <v>ING. ENRIQUE DE ECHAVARRI LARY</v>
      </c>
      <c r="D40" s="466"/>
      <c r="E40" s="28"/>
      <c r="F40" s="466" t="str">
        <f>ENTE!D14</f>
        <v>LIC. RICARDO SALVADOR BACA MUÑOZ</v>
      </c>
      <c r="G40" s="466"/>
      <c r="H40" s="466"/>
      <c r="I40" s="478"/>
      <c r="O40" s="22"/>
      <c r="P40" s="22"/>
    </row>
    <row r="41" spans="2:16" ht="14.1" customHeight="1" x14ac:dyDescent="0.2">
      <c r="B41" s="22"/>
      <c r="C41" s="467" t="str">
        <f>ENTE!D12</f>
        <v>COORDINADOR GENERAL</v>
      </c>
      <c r="D41" s="467"/>
      <c r="E41" s="75"/>
      <c r="F41" s="467" t="str">
        <f>ENTE!D16</f>
        <v>DIRECTOR DE ADMINISTRACIÓN</v>
      </c>
      <c r="G41" s="467"/>
      <c r="H41" s="467"/>
      <c r="I41" s="467"/>
      <c r="O41" s="22"/>
      <c r="P41" s="22"/>
    </row>
    <row r="42" spans="2:16" x14ac:dyDescent="0.2">
      <c r="C42" s="22"/>
      <c r="D42" s="22"/>
      <c r="E42" s="331"/>
      <c r="F42" s="22"/>
      <c r="G42" s="22"/>
    </row>
    <row r="43" spans="2:16" x14ac:dyDescent="0.2">
      <c r="C43" s="22"/>
      <c r="D43" s="22"/>
      <c r="E43" s="331"/>
      <c r="F43" s="22"/>
      <c r="G43" s="22"/>
    </row>
  </sheetData>
  <sheetProtection password="88C8" sheet="1" objects="1" scenarios="1" selectLockedCells="1"/>
  <mergeCells count="34">
    <mergeCell ref="C5:H5"/>
    <mergeCell ref="C2:H2"/>
    <mergeCell ref="C3:H3"/>
    <mergeCell ref="C4:H4"/>
    <mergeCell ref="C23:D23"/>
    <mergeCell ref="D7:H7"/>
    <mergeCell ref="B8:H8"/>
    <mergeCell ref="B9:H9"/>
    <mergeCell ref="C10:D11"/>
    <mergeCell ref="B12:H12"/>
    <mergeCell ref="B13:H13"/>
    <mergeCell ref="C14:D14"/>
    <mergeCell ref="C17:D17"/>
    <mergeCell ref="C19:D19"/>
    <mergeCell ref="C20:D20"/>
    <mergeCell ref="C22:D22"/>
    <mergeCell ref="C16:D16"/>
    <mergeCell ref="C21:D21"/>
    <mergeCell ref="C24:D24"/>
    <mergeCell ref="C25:D25"/>
    <mergeCell ref="C26:D26"/>
    <mergeCell ref="C28:D28"/>
    <mergeCell ref="C30:D30"/>
    <mergeCell ref="C31:D31"/>
    <mergeCell ref="C32:D32"/>
    <mergeCell ref="C41:D41"/>
    <mergeCell ref="F41:I41"/>
    <mergeCell ref="C33:D33"/>
    <mergeCell ref="B35:H35"/>
    <mergeCell ref="C36:G36"/>
    <mergeCell ref="C39:D39"/>
    <mergeCell ref="F39:G39"/>
    <mergeCell ref="C40:D40"/>
    <mergeCell ref="F40:I4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orientation="landscape" r:id="rId1"/>
  <headerFooter>
    <oddFooter>&amp;C&amp;A&amp;RPágina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B2:S45"/>
  <sheetViews>
    <sheetView showGridLines="0" view="pageBreakPreview" topLeftCell="B1" zoomScale="120" zoomScaleSheetLayoutView="120" workbookViewId="0">
      <selection activeCell="B36" sqref="B36:J36"/>
    </sheetView>
  </sheetViews>
  <sheetFormatPr baseColWidth="10" defaultRowHeight="12" x14ac:dyDescent="0.2"/>
  <cols>
    <col min="1" max="1" width="2" style="23" customWidth="1"/>
    <col min="2" max="2" width="1.140625" style="23" customWidth="1"/>
    <col min="3" max="3" width="11.7109375" style="23" customWidth="1"/>
    <col min="4" max="4" width="45.42578125" style="23" customWidth="1"/>
    <col min="5" max="5" width="13.7109375" style="130" customWidth="1"/>
    <col min="6" max="9" width="21" style="23" customWidth="1"/>
    <col min="10" max="11" width="1.140625" style="23" customWidth="1"/>
    <col min="12" max="12" width="14.140625" style="23" bestFit="1" customWidth="1"/>
    <col min="13" max="13" width="11.42578125" style="23"/>
    <col min="14" max="15" width="19.7109375" style="23" bestFit="1" customWidth="1"/>
    <col min="16" max="16384" width="11.42578125" style="23"/>
  </cols>
  <sheetData>
    <row r="2" spans="2:15" s="22" customFormat="1" ht="12" hidden="1" customHeight="1" x14ac:dyDescent="0.2">
      <c r="C2" s="474"/>
      <c r="D2" s="474"/>
      <c r="E2" s="474"/>
      <c r="F2" s="474"/>
      <c r="G2" s="474"/>
      <c r="H2" s="474"/>
      <c r="I2" s="474"/>
      <c r="J2" s="206"/>
      <c r="K2" s="206"/>
      <c r="L2" s="206"/>
      <c r="M2" s="206"/>
      <c r="N2" s="206"/>
      <c r="O2" s="206"/>
    </row>
    <row r="3" spans="2:15" s="22" customFormat="1" ht="12" customHeight="1" x14ac:dyDescent="0.2">
      <c r="C3" s="480" t="s">
        <v>747</v>
      </c>
      <c r="D3" s="480"/>
      <c r="E3" s="480"/>
      <c r="F3" s="480"/>
      <c r="G3" s="480"/>
      <c r="H3" s="480"/>
      <c r="I3" s="480"/>
      <c r="J3" s="480"/>
      <c r="K3" s="321"/>
      <c r="L3" s="23"/>
      <c r="M3" s="23"/>
    </row>
    <row r="4" spans="2:15" s="22" customFormat="1" ht="12" customHeight="1" x14ac:dyDescent="0.2">
      <c r="C4" s="480" t="str">
        <f>"Del 1 de enero al "&amp;TEXT(INDEX(Periodos,ENTE!D18,1),"dd")&amp;" de "&amp;TEXT(INDEX(Periodos,ENTE!D18,1),"mmmm")&amp;" de "&amp;TEXT(INDEX(Periodos,ENTE!D18,1),"aaaa")&amp;" "</f>
        <v xml:space="preserve">Del 1 de enero al 31 de diciembre de 2018 </v>
      </c>
      <c r="D4" s="480"/>
      <c r="E4" s="480"/>
      <c r="F4" s="480"/>
      <c r="G4" s="480"/>
      <c r="H4" s="480"/>
      <c r="I4" s="480"/>
      <c r="J4" s="480"/>
      <c r="K4" s="321"/>
      <c r="L4" s="23"/>
      <c r="M4" s="23"/>
    </row>
    <row r="5" spans="2:15" s="22" customFormat="1" ht="12" customHeight="1" x14ac:dyDescent="0.2">
      <c r="C5" s="480" t="s">
        <v>624</v>
      </c>
      <c r="D5" s="480"/>
      <c r="E5" s="480"/>
      <c r="F5" s="480"/>
      <c r="G5" s="480"/>
      <c r="H5" s="480"/>
      <c r="I5" s="480"/>
      <c r="J5" s="480"/>
      <c r="K5" s="321"/>
      <c r="L5" s="23"/>
      <c r="M5" s="23"/>
    </row>
    <row r="6" spans="2:15" s="22" customFormat="1" ht="12" customHeight="1" x14ac:dyDescent="0.2">
      <c r="C6" s="321"/>
      <c r="D6" s="321"/>
      <c r="E6" s="321"/>
      <c r="F6" s="321"/>
      <c r="G6" s="321"/>
      <c r="H6" s="321"/>
      <c r="I6" s="321"/>
      <c r="J6" s="321"/>
      <c r="K6" s="321"/>
      <c r="L6" s="23"/>
      <c r="M6" s="23"/>
    </row>
    <row r="7" spans="2:15" s="22" customFormat="1" ht="12" customHeight="1" x14ac:dyDescent="0.2">
      <c r="B7" s="78"/>
      <c r="C7" s="325" t="s">
        <v>6</v>
      </c>
      <c r="D7" s="477" t="str">
        <f>ENTE!D8</f>
        <v>UNIDAD DE SERVICIOS PARA LA EDUCACIÓN BÁSICA EN EL ESTADO DE QUERÉTARO</v>
      </c>
      <c r="E7" s="477"/>
      <c r="F7" s="477"/>
      <c r="G7" s="477"/>
      <c r="H7" s="477"/>
      <c r="I7" s="477"/>
      <c r="J7" s="477"/>
      <c r="K7" s="76"/>
      <c r="L7" s="116"/>
      <c r="M7" s="116"/>
      <c r="N7" s="117"/>
      <c r="O7" s="117"/>
    </row>
    <row r="8" spans="2:15" s="22" customFormat="1" ht="6.75" customHeight="1" x14ac:dyDescent="0.2">
      <c r="B8" s="481"/>
      <c r="C8" s="481"/>
      <c r="D8" s="481"/>
      <c r="E8" s="481"/>
      <c r="F8" s="481"/>
      <c r="G8" s="481"/>
      <c r="H8" s="481"/>
      <c r="I8" s="481"/>
      <c r="J8" s="481"/>
      <c r="K8" s="322"/>
    </row>
    <row r="9" spans="2:15" s="22" customFormat="1" ht="3" customHeight="1" x14ac:dyDescent="0.2">
      <c r="B9" s="481"/>
      <c r="C9" s="481"/>
      <c r="D9" s="481"/>
      <c r="E9" s="481"/>
      <c r="F9" s="481"/>
      <c r="G9" s="481"/>
      <c r="H9" s="481"/>
      <c r="I9" s="481"/>
      <c r="J9" s="481"/>
      <c r="K9" s="322"/>
    </row>
    <row r="10" spans="2:15" s="118" customFormat="1" x14ac:dyDescent="0.2">
      <c r="B10" s="180"/>
      <c r="C10" s="507" t="s">
        <v>625</v>
      </c>
      <c r="D10" s="507"/>
      <c r="E10" s="181" t="s">
        <v>748</v>
      </c>
      <c r="F10" s="181" t="s">
        <v>749</v>
      </c>
      <c r="G10" s="327" t="s">
        <v>750</v>
      </c>
      <c r="H10" s="327" t="s">
        <v>751</v>
      </c>
      <c r="I10" s="327" t="s">
        <v>752</v>
      </c>
      <c r="J10" s="184"/>
      <c r="K10" s="322"/>
    </row>
    <row r="11" spans="2:15" s="118" customFormat="1" x14ac:dyDescent="0.2">
      <c r="B11" s="182"/>
      <c r="C11" s="508"/>
      <c r="D11" s="508"/>
      <c r="E11" s="183">
        <v>1</v>
      </c>
      <c r="F11" s="183">
        <v>2</v>
      </c>
      <c r="G11" s="328">
        <v>3</v>
      </c>
      <c r="H11" s="328" t="s">
        <v>753</v>
      </c>
      <c r="I11" s="328" t="s">
        <v>754</v>
      </c>
      <c r="J11" s="185"/>
      <c r="K11" s="322"/>
    </row>
    <row r="12" spans="2:15" s="22" customFormat="1" ht="3" customHeight="1" x14ac:dyDescent="0.2">
      <c r="B12" s="509"/>
      <c r="C12" s="481"/>
      <c r="D12" s="481"/>
      <c r="E12" s="481"/>
      <c r="F12" s="481"/>
      <c r="G12" s="481"/>
      <c r="H12" s="481"/>
      <c r="I12" s="481"/>
      <c r="J12" s="510"/>
      <c r="K12" s="322"/>
    </row>
    <row r="13" spans="2:15" s="22" customFormat="1" ht="3" customHeight="1" x14ac:dyDescent="0.2">
      <c r="B13" s="511"/>
      <c r="C13" s="512"/>
      <c r="D13" s="512"/>
      <c r="E13" s="512"/>
      <c r="F13" s="512"/>
      <c r="G13" s="512"/>
      <c r="H13" s="512"/>
      <c r="I13" s="512"/>
      <c r="J13" s="513"/>
      <c r="K13" s="329"/>
      <c r="L13" s="23"/>
      <c r="M13" s="23"/>
    </row>
    <row r="14" spans="2:15" s="22" customFormat="1" x14ac:dyDescent="0.2">
      <c r="B14" s="88"/>
      <c r="C14" s="506" t="s">
        <v>685</v>
      </c>
      <c r="D14" s="506"/>
      <c r="E14" s="335">
        <f>+E16+E25</f>
        <v>889308537.69999981</v>
      </c>
      <c r="F14" s="335">
        <f>+F16+F25</f>
        <v>41058312019.390007</v>
      </c>
      <c r="G14" s="335">
        <f>+G16+G25</f>
        <v>41089100256.380013</v>
      </c>
      <c r="H14" s="335">
        <f>+H16+H25</f>
        <v>858520300.70999992</v>
      </c>
      <c r="I14" s="335">
        <f>+I16+I25</f>
        <v>-30788236.989999797</v>
      </c>
      <c r="J14" s="119"/>
      <c r="K14" s="121"/>
      <c r="L14" s="23"/>
      <c r="M14" s="120" t="str">
        <f>IF(H14=ESF!E42," ","ERROR POR "&amp;H14-ESF!E42)</f>
        <v xml:space="preserve"> </v>
      </c>
    </row>
    <row r="15" spans="2:15" s="22" customFormat="1" x14ac:dyDescent="0.2">
      <c r="B15" s="88"/>
      <c r="C15" s="121"/>
      <c r="D15" s="121"/>
      <c r="E15" s="335"/>
      <c r="F15" s="335"/>
      <c r="G15" s="335"/>
      <c r="H15" s="335"/>
      <c r="I15" s="335"/>
      <c r="J15" s="119"/>
      <c r="K15" s="121"/>
      <c r="L15" s="23"/>
      <c r="M15" s="23"/>
    </row>
    <row r="16" spans="2:15" s="22" customFormat="1" x14ac:dyDescent="0.2">
      <c r="B16" s="122"/>
      <c r="C16" s="463" t="s">
        <v>687</v>
      </c>
      <c r="D16" s="463"/>
      <c r="E16" s="123">
        <f>SUM(E17:E23)</f>
        <v>20112373.949999999</v>
      </c>
      <c r="F16" s="123">
        <f>SUM(F17:F23)</f>
        <v>40843401373.920006</v>
      </c>
      <c r="G16" s="123">
        <f>SUM(G17:G23)</f>
        <v>40833234022.700012</v>
      </c>
      <c r="H16" s="123">
        <f>ROUND(E16+F16-G16,2)</f>
        <v>30279725.170000002</v>
      </c>
      <c r="I16" s="123">
        <f>H16-E16</f>
        <v>10167351.220000003</v>
      </c>
      <c r="J16" s="124"/>
      <c r="K16" s="215"/>
      <c r="L16" s="125"/>
      <c r="M16" s="120" t="str">
        <f>IF(H16=ESF!E25," ","ERROR POR: "&amp;H16-ESF!E25)</f>
        <v xml:space="preserve"> </v>
      </c>
    </row>
    <row r="17" spans="2:16" s="22" customFormat="1" x14ac:dyDescent="0.2">
      <c r="B17" s="84"/>
      <c r="C17" s="501" t="s">
        <v>689</v>
      </c>
      <c r="D17" s="501"/>
      <c r="E17" s="37">
        <f>SUM('BALANZA COMPROBACION'!E11:E25)</f>
        <v>12381117.210000001</v>
      </c>
      <c r="F17" s="37">
        <f>SUM('BALANZA COMPROBACION'!F11:F25)</f>
        <v>17278977660.209999</v>
      </c>
      <c r="G17" s="37">
        <f>SUM('BALANZA COMPROBACION'!G11:G25)</f>
        <v>17282901495.400002</v>
      </c>
      <c r="H17" s="45">
        <f>ROUND(E17+F17-G17,2)</f>
        <v>8457282.0199999996</v>
      </c>
      <c r="I17" s="45">
        <f>H17-E17</f>
        <v>-3923835.1900000013</v>
      </c>
      <c r="J17" s="43"/>
      <c r="K17" s="38"/>
      <c r="L17" s="412"/>
      <c r="M17" s="120" t="str">
        <f>IF(H17=ESF!E17," ","ERROR POR: "&amp;H17-ESF!E17)</f>
        <v xml:space="preserve"> </v>
      </c>
      <c r="N17" s="127"/>
      <c r="O17" s="128"/>
    </row>
    <row r="18" spans="2:16" s="22" customFormat="1" x14ac:dyDescent="0.2">
      <c r="B18" s="84"/>
      <c r="C18" s="501" t="s">
        <v>691</v>
      </c>
      <c r="D18" s="501"/>
      <c r="E18" s="37">
        <f>SUM('BALANZA COMPROBACION'!E26:E56)</f>
        <v>4294114.1099999994</v>
      </c>
      <c r="F18" s="37">
        <f>SUM('BALANZA COMPROBACION'!F26:F56)</f>
        <v>23237976629.480003</v>
      </c>
      <c r="G18" s="37">
        <f>SUM('BALANZA COMPROBACION'!G26:G56)</f>
        <v>23241929691.660004</v>
      </c>
      <c r="H18" s="45">
        <f t="shared" ref="H18:H23" si="0">ROUND(E18+F18-G18,2)</f>
        <v>341051.93</v>
      </c>
      <c r="I18" s="45">
        <f t="shared" ref="I18:I23" si="1">H18-E18</f>
        <v>-3953062.1799999992</v>
      </c>
      <c r="J18" s="43"/>
      <c r="K18" s="38"/>
      <c r="L18" s="23"/>
      <c r="M18" s="120" t="str">
        <f>IF(H18=ESF!E18," ","ERROR POR: "&amp;H18-ESF!E18)</f>
        <v xml:space="preserve"> </v>
      </c>
      <c r="N18" s="127"/>
    </row>
    <row r="19" spans="2:16" s="22" customFormat="1" x14ac:dyDescent="0.2">
      <c r="B19" s="84"/>
      <c r="C19" s="501" t="s">
        <v>693</v>
      </c>
      <c r="D19" s="501"/>
      <c r="E19" s="37">
        <f>SUM('BALANZA COMPROBACION'!E57:E64)</f>
        <v>0</v>
      </c>
      <c r="F19" s="37">
        <f>SUM('BALANZA COMPROBACION'!F57:F64)</f>
        <v>28614499.48</v>
      </c>
      <c r="G19" s="37">
        <f>SUM('BALANZA COMPROBACION'!G57:G64)</f>
        <v>28614499.48</v>
      </c>
      <c r="H19" s="45">
        <f t="shared" si="0"/>
        <v>0</v>
      </c>
      <c r="I19" s="45">
        <f t="shared" si="1"/>
        <v>0</v>
      </c>
      <c r="J19" s="43"/>
      <c r="K19" s="38"/>
      <c r="L19" s="23"/>
      <c r="M19" s="120" t="str">
        <f>IF(H19=ESF!E19," ","ERROR POR: "&amp;H19-ESF!E19)</f>
        <v xml:space="preserve"> </v>
      </c>
      <c r="N19" s="127"/>
    </row>
    <row r="20" spans="2:16" s="22" customFormat="1" x14ac:dyDescent="0.2">
      <c r="B20" s="84"/>
      <c r="C20" s="501" t="s">
        <v>695</v>
      </c>
      <c r="D20" s="501"/>
      <c r="E20" s="37">
        <f>SUM('BALANZA COMPROBACION'!E65:E93)</f>
        <v>0</v>
      </c>
      <c r="F20" s="37">
        <f>SUM('BALANZA COMPROBACION'!F65:F93)</f>
        <v>0</v>
      </c>
      <c r="G20" s="37">
        <f>SUM('BALANZA COMPROBACION'!G65:G93)</f>
        <v>0</v>
      </c>
      <c r="H20" s="45">
        <f t="shared" si="0"/>
        <v>0</v>
      </c>
      <c r="I20" s="45">
        <f t="shared" si="1"/>
        <v>0</v>
      </c>
      <c r="J20" s="43"/>
      <c r="K20" s="38"/>
      <c r="L20" s="23"/>
      <c r="M20" s="120" t="str">
        <f>IF(H20=ESF!E20," ","ERROR POR: "&amp;H20-ESF!E20)</f>
        <v xml:space="preserve"> </v>
      </c>
      <c r="N20" s="127"/>
      <c r="P20" s="22" t="s">
        <v>755</v>
      </c>
    </row>
    <row r="21" spans="2:16" s="22" customFormat="1" x14ac:dyDescent="0.2">
      <c r="B21" s="84"/>
      <c r="C21" s="501" t="s">
        <v>697</v>
      </c>
      <c r="D21" s="501"/>
      <c r="E21" s="37">
        <f>SUM('BALANZA COMPROBACION'!E94:E101)</f>
        <v>3437142.63</v>
      </c>
      <c r="F21" s="37">
        <f>SUM('BALANZA COMPROBACION'!F94:F101)</f>
        <v>297832584.75</v>
      </c>
      <c r="G21" s="37">
        <f>SUM('BALANZA COMPROBACION'!G94:G101)</f>
        <v>279788336.16000003</v>
      </c>
      <c r="H21" s="45">
        <f t="shared" si="0"/>
        <v>21481391.219999999</v>
      </c>
      <c r="I21" s="45">
        <f t="shared" si="1"/>
        <v>18044248.59</v>
      </c>
      <c r="J21" s="43"/>
      <c r="K21" s="38"/>
      <c r="L21" s="23"/>
      <c r="M21" s="120" t="str">
        <f>IF(H21=ESF!E21," ","ERROR POR: "&amp;H21-ESF!E21)</f>
        <v xml:space="preserve"> </v>
      </c>
      <c r="N21" s="127"/>
    </row>
    <row r="22" spans="2:16" s="22" customFormat="1" x14ac:dyDescent="0.2">
      <c r="B22" s="84"/>
      <c r="C22" s="501" t="s">
        <v>699</v>
      </c>
      <c r="D22" s="501"/>
      <c r="E22" s="37">
        <f>SUM('BALANZA COMPROBACION'!E102:E111)</f>
        <v>0</v>
      </c>
      <c r="F22" s="37">
        <f>SUM('BALANZA COMPROBACION'!F102:F111)</f>
        <v>0</v>
      </c>
      <c r="G22" s="37">
        <f>SUM('BALANZA COMPROBACION'!G102:G111)</f>
        <v>0</v>
      </c>
      <c r="H22" s="45">
        <f t="shared" si="0"/>
        <v>0</v>
      </c>
      <c r="I22" s="45">
        <f t="shared" si="1"/>
        <v>0</v>
      </c>
      <c r="J22" s="43"/>
      <c r="K22" s="38"/>
      <c r="L22" s="23"/>
      <c r="M22" s="120" t="str">
        <f>IF(H22=ESF!E22," ","ERROR POR: "&amp;H22-ESF!E22)</f>
        <v xml:space="preserve"> </v>
      </c>
      <c r="N22" s="127"/>
    </row>
    <row r="23" spans="2:16" x14ac:dyDescent="0.2">
      <c r="B23" s="84"/>
      <c r="C23" s="501" t="s">
        <v>701</v>
      </c>
      <c r="D23" s="501"/>
      <c r="E23" s="37">
        <f>SUM('BALANZA COMPROBACION'!E112:E117)</f>
        <v>0</v>
      </c>
      <c r="F23" s="37">
        <f>SUM('BALANZA COMPROBACION'!F112:F117)</f>
        <v>0</v>
      </c>
      <c r="G23" s="37">
        <f>SUM('BALANZA COMPROBACION'!G112:G117)</f>
        <v>0</v>
      </c>
      <c r="H23" s="45">
        <f t="shared" si="0"/>
        <v>0</v>
      </c>
      <c r="I23" s="45">
        <f t="shared" si="1"/>
        <v>0</v>
      </c>
      <c r="J23" s="43"/>
      <c r="K23" s="38"/>
      <c r="M23" s="120" t="str">
        <f>IF(H23=ESF!E23," ","ERROR POR: "&amp;H23-ESF!E23)</f>
        <v xml:space="preserve"> </v>
      </c>
      <c r="N23" s="127"/>
    </row>
    <row r="24" spans="2:16" x14ac:dyDescent="0.2">
      <c r="B24" s="84"/>
      <c r="C24" s="326"/>
      <c r="D24" s="326"/>
      <c r="E24" s="129"/>
      <c r="F24" s="129"/>
      <c r="G24" s="129"/>
      <c r="H24" s="129"/>
      <c r="I24" s="129"/>
      <c r="J24" s="43"/>
      <c r="K24" s="38"/>
      <c r="M24" s="120"/>
      <c r="N24" s="127"/>
    </row>
    <row r="25" spans="2:16" x14ac:dyDescent="0.2">
      <c r="B25" s="122"/>
      <c r="C25" s="463" t="s">
        <v>706</v>
      </c>
      <c r="D25" s="463"/>
      <c r="E25" s="123">
        <f>SUM(E26:E34)</f>
        <v>869196163.74999976</v>
      </c>
      <c r="F25" s="123">
        <f>SUM(F26:F34)</f>
        <v>214910645.47000003</v>
      </c>
      <c r="G25" s="123">
        <f>SUM(G26:G34)</f>
        <v>255866233.67999998</v>
      </c>
      <c r="H25" s="123">
        <f>ROUND(E25+F25-G25,2)</f>
        <v>828240575.53999996</v>
      </c>
      <c r="I25" s="123">
        <f>H25-E25</f>
        <v>-40955588.2099998</v>
      </c>
      <c r="J25" s="124"/>
      <c r="K25" s="215"/>
      <c r="M25" s="120" t="str">
        <f>IF(H25=ESF!E40," ","ERROR POR: "&amp;H25-ESF!E40)</f>
        <v xml:space="preserve"> </v>
      </c>
      <c r="N25" s="127"/>
    </row>
    <row r="26" spans="2:16" x14ac:dyDescent="0.2">
      <c r="B26" s="84"/>
      <c r="C26" s="501" t="s">
        <v>708</v>
      </c>
      <c r="D26" s="501"/>
      <c r="E26" s="37">
        <f>SUM('BALANZA COMPROBACION'!E124:E141)</f>
        <v>0</v>
      </c>
      <c r="F26" s="37">
        <f>SUM('BALANZA COMPROBACION'!F124:F141)</f>
        <v>0</v>
      </c>
      <c r="G26" s="37">
        <f>SUM('BALANZA COMPROBACION'!G124:G141)</f>
        <v>0</v>
      </c>
      <c r="H26" s="45">
        <f t="shared" ref="H26:H34" si="2">ROUND(E26+F26-G26,2)</f>
        <v>0</v>
      </c>
      <c r="I26" s="45">
        <f>H26-E26</f>
        <v>0</v>
      </c>
      <c r="J26" s="43"/>
      <c r="K26" s="38"/>
      <c r="M26" s="120" t="str">
        <f>IF(H26=ESF!E30," ","ERROR POR: "&amp;H26-ESF!E30)</f>
        <v xml:space="preserve"> </v>
      </c>
      <c r="N26" s="127"/>
    </row>
    <row r="27" spans="2:16" x14ac:dyDescent="0.2">
      <c r="B27" s="84"/>
      <c r="C27" s="501" t="s">
        <v>710</v>
      </c>
      <c r="D27" s="501"/>
      <c r="E27" s="37">
        <f>SUM('BALANZA COMPROBACION'!E142:E153)</f>
        <v>0</v>
      </c>
      <c r="F27" s="37">
        <f>SUM('BALANZA COMPROBACION'!F142:F153)</f>
        <v>71330</v>
      </c>
      <c r="G27" s="37">
        <f>SUM('BALANZA COMPROBACION'!G142:G153)</f>
        <v>71330</v>
      </c>
      <c r="H27" s="45">
        <f t="shared" si="2"/>
        <v>0</v>
      </c>
      <c r="I27" s="45">
        <f t="shared" ref="I27:I34" si="3">H27-E27</f>
        <v>0</v>
      </c>
      <c r="J27" s="43"/>
      <c r="K27" s="38"/>
      <c r="M27" s="120" t="str">
        <f>IF(H27=ESF!E31," ","ERROR POR: "&amp;H27-ESF!E31)</f>
        <v xml:space="preserve"> </v>
      </c>
      <c r="N27" s="127"/>
    </row>
    <row r="28" spans="2:16" x14ac:dyDescent="0.2">
      <c r="B28" s="84"/>
      <c r="C28" s="501" t="s">
        <v>712</v>
      </c>
      <c r="D28" s="501"/>
      <c r="E28" s="37">
        <f>SUM('BALANZA COMPROBACION'!E154:E182)</f>
        <v>449709044.76999998</v>
      </c>
      <c r="F28" s="37">
        <f>SUM('BALANZA COMPROBACION'!F154:F182)</f>
        <v>50844943.579999998</v>
      </c>
      <c r="G28" s="37">
        <f>SUM('BALANZA COMPROBACION'!G154:G182)</f>
        <v>63424849.339999996</v>
      </c>
      <c r="H28" s="45">
        <f t="shared" si="2"/>
        <v>437129139.00999999</v>
      </c>
      <c r="I28" s="45">
        <f t="shared" si="3"/>
        <v>-12579905.75999999</v>
      </c>
      <c r="J28" s="43"/>
      <c r="K28" s="38"/>
      <c r="M28" s="120" t="str">
        <f>IF(H28=ESF!E32," ","ERROR POR: "&amp;H28-ESF!E32)</f>
        <v xml:space="preserve"> </v>
      </c>
      <c r="N28" s="127"/>
    </row>
    <row r="29" spans="2:16" x14ac:dyDescent="0.2">
      <c r="B29" s="84"/>
      <c r="C29" s="501" t="s">
        <v>756</v>
      </c>
      <c r="D29" s="501"/>
      <c r="E29" s="37">
        <f>SUM('BALANZA COMPROBACION'!E183:E218)</f>
        <v>584033752.55999982</v>
      </c>
      <c r="F29" s="37">
        <f>SUM('BALANZA COMPROBACION'!F183:F218)</f>
        <v>118213457.25000001</v>
      </c>
      <c r="G29" s="37">
        <f>SUM('BALANZA COMPROBACION'!G183:G218)</f>
        <v>101795936.86999997</v>
      </c>
      <c r="H29" s="45">
        <f t="shared" si="2"/>
        <v>600451272.94000006</v>
      </c>
      <c r="I29" s="45">
        <f t="shared" si="3"/>
        <v>16417520.380000234</v>
      </c>
      <c r="J29" s="43"/>
      <c r="K29" s="38"/>
      <c r="M29" s="120" t="str">
        <f>IF(H29=ESF!E33," ","ERROR POR: "&amp;H29-ESF!E33)</f>
        <v xml:space="preserve"> </v>
      </c>
      <c r="N29" s="127"/>
    </row>
    <row r="30" spans="2:16" x14ac:dyDescent="0.2">
      <c r="B30" s="84"/>
      <c r="C30" s="501" t="s">
        <v>716</v>
      </c>
      <c r="D30" s="501"/>
      <c r="E30" s="37">
        <f>SUM('BALANZA COMPROBACION'!E219:E227)</f>
        <v>17986777.350000001</v>
      </c>
      <c r="F30" s="37">
        <f>SUM('BALANZA COMPROBACION'!F219:F227)</f>
        <v>13937423.189999999</v>
      </c>
      <c r="G30" s="37">
        <f>SUM('BALANZA COMPROBACION'!G219:G227)</f>
        <v>26467297.41</v>
      </c>
      <c r="H30" s="45">
        <f t="shared" si="2"/>
        <v>5456903.1299999999</v>
      </c>
      <c r="I30" s="45">
        <f t="shared" si="3"/>
        <v>-12529874.220000003</v>
      </c>
      <c r="J30" s="43"/>
      <c r="K30" s="38"/>
      <c r="M30" s="120" t="str">
        <f>IF(H30=ESF!E34," ","ERROR POR: "&amp;H30-ESF!E34)</f>
        <v xml:space="preserve"> </v>
      </c>
      <c r="N30" s="127"/>
    </row>
    <row r="31" spans="2:16" x14ac:dyDescent="0.2">
      <c r="B31" s="84"/>
      <c r="C31" s="501" t="s">
        <v>718</v>
      </c>
      <c r="D31" s="501"/>
      <c r="E31" s="37">
        <f>SUM('BALANZA COMPROBACION'!E228:E259)</f>
        <v>-182533410.93000001</v>
      </c>
      <c r="F31" s="37">
        <f>SUM('BALANZA COMPROBACION'!F228:F259)</f>
        <v>31841491.450000003</v>
      </c>
      <c r="G31" s="37">
        <f>SUM('BALANZA COMPROBACION'!G228:G259)</f>
        <v>64104820.059999995</v>
      </c>
      <c r="H31" s="45">
        <f t="shared" si="2"/>
        <v>-214796739.53999999</v>
      </c>
      <c r="I31" s="45">
        <f t="shared" si="3"/>
        <v>-32263328.609999985</v>
      </c>
      <c r="J31" s="43"/>
      <c r="K31" s="38"/>
      <c r="M31" s="120" t="str">
        <f>IF(H31=ESF!E35," ","ERROR POR: "&amp;H31-ESF!E35)</f>
        <v xml:space="preserve"> </v>
      </c>
      <c r="N31" s="127"/>
    </row>
    <row r="32" spans="2:16" x14ac:dyDescent="0.2">
      <c r="B32" s="84"/>
      <c r="C32" s="501" t="s">
        <v>720</v>
      </c>
      <c r="D32" s="501"/>
      <c r="E32" s="37">
        <f>SUM('BALANZA COMPROBACION'!E260:E269)</f>
        <v>0</v>
      </c>
      <c r="F32" s="37">
        <f>SUM('BALANZA COMPROBACION'!F260:F269)</f>
        <v>2000</v>
      </c>
      <c r="G32" s="37">
        <f>SUM('BALANZA COMPROBACION'!G260:G269)</f>
        <v>2000</v>
      </c>
      <c r="H32" s="45">
        <f t="shared" si="2"/>
        <v>0</v>
      </c>
      <c r="I32" s="45">
        <f t="shared" si="3"/>
        <v>0</v>
      </c>
      <c r="J32" s="43"/>
      <c r="K32" s="38"/>
      <c r="M32" s="120" t="str">
        <f>IF(H32=ESF!E36," ","ERROR POR: "&amp;H32-ESF!E36)</f>
        <v xml:space="preserve"> </v>
      </c>
      <c r="N32" s="127"/>
    </row>
    <row r="33" spans="2:19" x14ac:dyDescent="0.2">
      <c r="B33" s="84"/>
      <c r="C33" s="501" t="s">
        <v>721</v>
      </c>
      <c r="D33" s="501"/>
      <c r="E33" s="37">
        <f>SUM('BALANZA COMPROBACION'!E270:E281)</f>
        <v>0</v>
      </c>
      <c r="F33" s="37">
        <f>SUM('BALANZA COMPROBACION'!F270:F281)</f>
        <v>0</v>
      </c>
      <c r="G33" s="37">
        <f>SUM('BALANZA COMPROBACION'!G270:G281)</f>
        <v>0</v>
      </c>
      <c r="H33" s="45">
        <f t="shared" si="2"/>
        <v>0</v>
      </c>
      <c r="I33" s="45">
        <f t="shared" si="3"/>
        <v>0</v>
      </c>
      <c r="J33" s="43"/>
      <c r="K33" s="38"/>
      <c r="M33" s="120" t="str">
        <f>IF(H33=ESF!E37," ","ERROR POR: "&amp;H33-ESF!E37)</f>
        <v xml:space="preserve"> </v>
      </c>
      <c r="N33" s="127"/>
    </row>
    <row r="34" spans="2:19" x14ac:dyDescent="0.2">
      <c r="B34" s="84"/>
      <c r="C34" s="501" t="s">
        <v>723</v>
      </c>
      <c r="D34" s="501"/>
      <c r="E34" s="37">
        <f>SUM('BALANZA COMPROBACION'!E282:E286)</f>
        <v>0</v>
      </c>
      <c r="F34" s="37">
        <f>SUM('BALANZA COMPROBACION'!F282:F286)</f>
        <v>0</v>
      </c>
      <c r="G34" s="37">
        <f>SUM('BALANZA COMPROBACION'!G282:G286)</f>
        <v>0</v>
      </c>
      <c r="H34" s="45">
        <f t="shared" si="2"/>
        <v>0</v>
      </c>
      <c r="I34" s="45">
        <f t="shared" si="3"/>
        <v>0</v>
      </c>
      <c r="J34" s="43"/>
      <c r="K34" s="38"/>
      <c r="M34" s="120" t="str">
        <f>IF(H34=ESF!E38," ","ERROR POR: "&amp;H34-ESF!E38)</f>
        <v xml:space="preserve"> </v>
      </c>
      <c r="N34" s="127"/>
    </row>
    <row r="35" spans="2:19" x14ac:dyDescent="0.2">
      <c r="B35" s="84"/>
      <c r="C35" s="326"/>
      <c r="D35" s="326"/>
      <c r="E35" s="129"/>
      <c r="F35" s="126"/>
      <c r="G35" s="126"/>
      <c r="H35" s="126"/>
      <c r="I35" s="126"/>
      <c r="J35" s="43"/>
      <c r="K35" s="38"/>
      <c r="M35" s="120"/>
    </row>
    <row r="36" spans="2:19" ht="6" customHeight="1" x14ac:dyDescent="0.2">
      <c r="B36" s="502"/>
      <c r="C36" s="503"/>
      <c r="D36" s="503"/>
      <c r="E36" s="503"/>
      <c r="F36" s="503"/>
      <c r="G36" s="503"/>
      <c r="H36" s="503"/>
      <c r="I36" s="503"/>
      <c r="J36" s="504"/>
      <c r="K36" s="139"/>
    </row>
    <row r="37" spans="2:19" ht="15" customHeight="1" x14ac:dyDescent="0.2">
      <c r="B37" s="22"/>
      <c r="C37" s="464" t="s">
        <v>681</v>
      </c>
      <c r="D37" s="464"/>
      <c r="E37" s="464"/>
      <c r="F37" s="464"/>
      <c r="G37" s="464"/>
      <c r="H37" s="464"/>
      <c r="I37" s="464"/>
      <c r="J37" s="47"/>
      <c r="K37" s="47"/>
      <c r="L37" s="47"/>
      <c r="M37" s="22"/>
      <c r="N37" s="22"/>
      <c r="O37" s="22"/>
      <c r="P37" s="22"/>
      <c r="Q37" s="22"/>
      <c r="R37" s="22"/>
      <c r="S37" s="22"/>
    </row>
    <row r="38" spans="2:19" ht="15" customHeight="1" x14ac:dyDescent="0.2">
      <c r="B38" s="22"/>
      <c r="C38" s="316"/>
      <c r="D38" s="316"/>
      <c r="E38" s="316"/>
      <c r="F38" s="316"/>
      <c r="G38" s="316"/>
      <c r="H38" s="316"/>
      <c r="I38" s="316"/>
      <c r="J38" s="47"/>
      <c r="K38" s="47"/>
      <c r="L38" s="47"/>
      <c r="M38" s="22"/>
      <c r="N38" s="22"/>
      <c r="O38" s="22"/>
      <c r="P38" s="22"/>
      <c r="Q38" s="22"/>
      <c r="R38" s="22"/>
      <c r="S38" s="22"/>
    </row>
    <row r="39" spans="2:19" ht="15" customHeight="1" x14ac:dyDescent="0.2">
      <c r="B39" s="22"/>
      <c r="C39" s="316"/>
      <c r="D39" s="316"/>
      <c r="E39" s="316"/>
      <c r="F39" s="316"/>
      <c r="G39" s="316"/>
      <c r="H39" s="316"/>
      <c r="I39" s="316"/>
      <c r="J39" s="47"/>
      <c r="K39" s="47"/>
      <c r="L39" s="47"/>
      <c r="M39" s="22"/>
      <c r="N39" s="22"/>
      <c r="O39" s="22"/>
      <c r="P39" s="22"/>
      <c r="Q39" s="22"/>
      <c r="R39" s="22"/>
      <c r="S39" s="22"/>
    </row>
    <row r="40" spans="2:19" ht="9.75" customHeight="1" x14ac:dyDescent="0.2">
      <c r="B40" s="22"/>
      <c r="C40" s="47"/>
      <c r="D40" s="67"/>
      <c r="E40" s="68"/>
      <c r="F40" s="68"/>
      <c r="G40" s="22"/>
      <c r="H40" s="69"/>
      <c r="I40" s="67"/>
      <c r="J40" s="68"/>
      <c r="K40" s="68"/>
      <c r="L40" s="68"/>
      <c r="M40" s="22"/>
      <c r="N40" s="22"/>
      <c r="O40" s="22"/>
      <c r="P40" s="22"/>
      <c r="Q40" s="22"/>
      <c r="R40" s="22"/>
      <c r="S40" s="22"/>
    </row>
    <row r="41" spans="2:19" ht="50.1" customHeight="1" x14ac:dyDescent="0.2">
      <c r="B41" s="22"/>
      <c r="C41" s="505"/>
      <c r="D41" s="505"/>
      <c r="E41" s="68"/>
      <c r="F41" s="28"/>
      <c r="G41" s="496"/>
      <c r="H41" s="496"/>
      <c r="I41" s="496"/>
      <c r="J41" s="68"/>
      <c r="K41" s="68"/>
      <c r="L41" s="68"/>
      <c r="M41" s="22"/>
      <c r="N41" s="22"/>
      <c r="O41" s="22"/>
      <c r="P41" s="22"/>
      <c r="Q41" s="22"/>
      <c r="R41" s="22"/>
      <c r="S41" s="22"/>
    </row>
    <row r="42" spans="2:19" ht="14.1" customHeight="1" x14ac:dyDescent="0.2">
      <c r="B42" s="22"/>
      <c r="C42" s="466" t="str">
        <f>ENTE!D10</f>
        <v>ING. ENRIQUE DE ECHAVARRI LARY</v>
      </c>
      <c r="D42" s="466"/>
      <c r="E42" s="28"/>
      <c r="F42" s="289"/>
      <c r="G42" s="478" t="str">
        <f>ENTE!D14</f>
        <v>LIC. RICARDO SALVADOR BACA MUÑOZ</v>
      </c>
      <c r="H42" s="478"/>
      <c r="I42" s="478"/>
      <c r="J42" s="72"/>
      <c r="K42" s="72"/>
      <c r="L42" s="22"/>
      <c r="R42" s="22"/>
      <c r="S42" s="22"/>
    </row>
    <row r="43" spans="2:19" ht="14.1" customHeight="1" x14ac:dyDescent="0.2">
      <c r="B43" s="22"/>
      <c r="C43" s="467" t="str">
        <f>ENTE!D12</f>
        <v>COORDINADOR GENERAL</v>
      </c>
      <c r="D43" s="467"/>
      <c r="E43" s="75"/>
      <c r="F43" s="290"/>
      <c r="G43" s="467" t="str">
        <f>ENTE!D16</f>
        <v>DIRECTOR DE ADMINISTRACIÓN</v>
      </c>
      <c r="H43" s="467"/>
      <c r="I43" s="467"/>
      <c r="J43" s="72"/>
      <c r="K43" s="72"/>
      <c r="L43" s="22"/>
      <c r="R43" s="22"/>
      <c r="S43" s="22"/>
    </row>
    <row r="44" spans="2:19" x14ac:dyDescent="0.2">
      <c r="C44" s="22"/>
      <c r="D44" s="22"/>
      <c r="E44" s="331"/>
      <c r="F44" s="22"/>
      <c r="G44" s="22"/>
      <c r="H44" s="22"/>
    </row>
    <row r="45" spans="2:19" x14ac:dyDescent="0.2">
      <c r="C45" s="22"/>
      <c r="D45" s="22"/>
      <c r="E45" s="331"/>
      <c r="F45" s="22"/>
      <c r="G45" s="22"/>
      <c r="H45" s="22"/>
    </row>
  </sheetData>
  <sheetProtection password="88C8" sheet="1" objects="1" scenarios="1" selectLockedCells="1"/>
  <mergeCells count="37">
    <mergeCell ref="C5:J5"/>
    <mergeCell ref="C3:J3"/>
    <mergeCell ref="C4:J4"/>
    <mergeCell ref="C32:D32"/>
    <mergeCell ref="C20:D20"/>
    <mergeCell ref="D7:J7"/>
    <mergeCell ref="B8:J8"/>
    <mergeCell ref="B9:J9"/>
    <mergeCell ref="C10:D11"/>
    <mergeCell ref="B12:J12"/>
    <mergeCell ref="B13:J13"/>
    <mergeCell ref="C14:D14"/>
    <mergeCell ref="C16:D16"/>
    <mergeCell ref="C17:D17"/>
    <mergeCell ref="C18:D18"/>
    <mergeCell ref="C19:D19"/>
    <mergeCell ref="C27:D27"/>
    <mergeCell ref="C28:D28"/>
    <mergeCell ref="C29:D29"/>
    <mergeCell ref="C30:D30"/>
    <mergeCell ref="C26:D26"/>
    <mergeCell ref="G42:I42"/>
    <mergeCell ref="G43:I43"/>
    <mergeCell ref="G41:I41"/>
    <mergeCell ref="C31:D31"/>
    <mergeCell ref="C2:I2"/>
    <mergeCell ref="C43:D43"/>
    <mergeCell ref="C34:D34"/>
    <mergeCell ref="B36:J36"/>
    <mergeCell ref="C37:I37"/>
    <mergeCell ref="C41:D41"/>
    <mergeCell ref="C42:D42"/>
    <mergeCell ref="C33:D33"/>
    <mergeCell ref="C21:D21"/>
    <mergeCell ref="C22:D22"/>
    <mergeCell ref="C23:D23"/>
    <mergeCell ref="C25:D2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6" orientation="landscape" r:id="rId1"/>
  <headerFooter>
    <oddFooter>&amp;C&amp;A&amp;RPágina &amp;P</oddFooter>
  </headerFooter>
  <ignoredErrors>
    <ignoredError sqref="E15:I16 H17:I33 E24:E25 H34:I34 F14:I14" unlockedFormula="1"/>
    <ignoredError sqref="F34 F17:F33 G34 G17:G33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view="pageBreakPreview" zoomScale="96" zoomScaleNormal="100" zoomScaleSheetLayoutView="96" workbookViewId="0">
      <selection activeCell="D22" sqref="D22"/>
    </sheetView>
  </sheetViews>
  <sheetFormatPr baseColWidth="10" defaultRowHeight="12" x14ac:dyDescent="0.2"/>
  <cols>
    <col min="1" max="1" width="4.7109375" style="232" customWidth="1"/>
    <col min="2" max="2" width="39.5703125" style="232" customWidth="1"/>
    <col min="3" max="3" width="22.7109375" style="232" customWidth="1"/>
    <col min="4" max="4" width="56.42578125" style="232" bestFit="1" customWidth="1"/>
    <col min="5" max="5" width="24.140625" style="232" customWidth="1"/>
    <col min="6" max="6" width="17" style="232" customWidth="1"/>
    <col min="7" max="7" width="16.5703125" style="232" bestFit="1" customWidth="1"/>
    <col min="8" max="8" width="4.42578125" style="232" customWidth="1"/>
    <col min="9" max="16384" width="11.42578125" style="232"/>
  </cols>
  <sheetData>
    <row r="2" spans="2:7" x14ac:dyDescent="0.2">
      <c r="B2" s="522"/>
      <c r="C2" s="522"/>
      <c r="D2" s="522"/>
      <c r="E2" s="522"/>
      <c r="F2" s="522"/>
      <c r="G2" s="522"/>
    </row>
    <row r="3" spans="2:7" x14ac:dyDescent="0.2">
      <c r="B3" s="522"/>
      <c r="C3" s="522"/>
      <c r="D3" s="522"/>
      <c r="E3" s="522"/>
      <c r="F3" s="522"/>
      <c r="G3" s="522"/>
    </row>
    <row r="4" spans="2:7" x14ac:dyDescent="0.2">
      <c r="B4" s="522" t="s">
        <v>1037</v>
      </c>
      <c r="C4" s="522"/>
      <c r="D4" s="522"/>
      <c r="E4" s="522"/>
      <c r="F4" s="522"/>
      <c r="G4" s="522"/>
    </row>
    <row r="5" spans="2:7" x14ac:dyDescent="0.2">
      <c r="B5" s="522" t="str">
        <f>"Del 1 de enero al "&amp;TEXT(INDEX(Periodos,ENTE!D18,1),"dd")&amp;" de "&amp;TEXT(INDEX(Periodos,ENTE!D18,1),"mmmm")&amp;" de "&amp;TEXT(INDEX(Periodos,ENTE!D18,1),"aaaa")&amp;""</f>
        <v>Del 1 de enero al 31 de diciembre de 2018</v>
      </c>
      <c r="C5" s="522"/>
      <c r="D5" s="522"/>
      <c r="E5" s="522"/>
      <c r="F5" s="522"/>
      <c r="G5" s="522"/>
    </row>
    <row r="6" spans="2:7" x14ac:dyDescent="0.2">
      <c r="B6" s="425"/>
      <c r="C6" s="425"/>
      <c r="D6" s="425"/>
      <c r="E6" s="425"/>
      <c r="F6" s="425"/>
      <c r="G6" s="425"/>
    </row>
    <row r="7" spans="2:7" x14ac:dyDescent="0.2">
      <c r="B7" s="427" t="s">
        <v>1035</v>
      </c>
      <c r="C7" s="523" t="str">
        <f>+ENTE!D8</f>
        <v>UNIDAD DE SERVICIOS PARA LA EDUCACIÓN BÁSICA EN EL ESTADO DE QUERÉTARO</v>
      </c>
      <c r="D7" s="523"/>
      <c r="E7" s="523"/>
      <c r="F7" s="523"/>
      <c r="G7" s="428"/>
    </row>
    <row r="8" spans="2:7" x14ac:dyDescent="0.2">
      <c r="B8" s="522"/>
      <c r="C8" s="522"/>
      <c r="D8" s="522"/>
      <c r="E8" s="522"/>
      <c r="F8" s="522"/>
      <c r="G8" s="522"/>
    </row>
    <row r="9" spans="2:7" ht="15.75" customHeight="1" x14ac:dyDescent="0.2">
      <c r="B9" s="516" t="s">
        <v>1055</v>
      </c>
      <c r="C9" s="514"/>
      <c r="D9" s="514" t="s">
        <v>625</v>
      </c>
      <c r="E9" s="518" t="s">
        <v>1056</v>
      </c>
      <c r="F9" s="518"/>
      <c r="G9" s="519"/>
    </row>
    <row r="10" spans="2:7" x14ac:dyDescent="0.2">
      <c r="B10" s="517"/>
      <c r="C10" s="515"/>
      <c r="D10" s="515"/>
      <c r="E10" s="520"/>
      <c r="F10" s="520"/>
      <c r="G10" s="521"/>
    </row>
    <row r="11" spans="2:7" ht="13.5" customHeight="1" x14ac:dyDescent="0.2">
      <c r="B11" s="435"/>
      <c r="C11" s="436"/>
      <c r="D11" s="436"/>
      <c r="E11" s="436"/>
      <c r="F11" s="436"/>
      <c r="G11" s="437"/>
    </row>
    <row r="12" spans="2:7" ht="15.75" customHeight="1" x14ac:dyDescent="0.2">
      <c r="B12" s="435"/>
      <c r="C12" s="436"/>
      <c r="D12" s="436"/>
      <c r="E12" s="436"/>
      <c r="F12" s="436"/>
      <c r="G12" s="437"/>
    </row>
    <row r="13" spans="2:7" ht="15.75" customHeight="1" x14ac:dyDescent="0.2">
      <c r="B13" s="435"/>
      <c r="C13" s="436"/>
      <c r="D13" s="436"/>
      <c r="E13" s="436"/>
      <c r="F13" s="436"/>
      <c r="G13" s="437"/>
    </row>
    <row r="14" spans="2:7" ht="15.75" customHeight="1" x14ac:dyDescent="0.2">
      <c r="B14" s="435"/>
      <c r="C14" s="436"/>
      <c r="D14" s="436"/>
      <c r="E14" s="436"/>
      <c r="F14" s="436"/>
      <c r="G14" s="437"/>
    </row>
    <row r="15" spans="2:7" ht="13.5" customHeight="1" x14ac:dyDescent="0.2">
      <c r="B15" s="435"/>
      <c r="C15" s="436"/>
      <c r="D15" s="436"/>
      <c r="E15" s="436"/>
      <c r="F15" s="436"/>
      <c r="G15" s="437"/>
    </row>
    <row r="16" spans="2:7" ht="15.75" customHeight="1" x14ac:dyDescent="0.2">
      <c r="B16" s="435"/>
      <c r="C16" s="436"/>
      <c r="D16" s="436"/>
      <c r="E16" s="436"/>
      <c r="F16" s="436"/>
      <c r="G16" s="437"/>
    </row>
    <row r="17" spans="2:7" ht="15.75" customHeight="1" x14ac:dyDescent="0.2">
      <c r="B17" s="435"/>
      <c r="C17" s="436"/>
      <c r="D17" s="436"/>
      <c r="E17" s="436"/>
      <c r="F17" s="436"/>
      <c r="G17" s="437"/>
    </row>
    <row r="18" spans="2:7" ht="15.75" customHeight="1" x14ac:dyDescent="0.2">
      <c r="B18" s="435"/>
      <c r="C18" s="436"/>
      <c r="D18" s="436"/>
      <c r="E18" s="436"/>
      <c r="F18" s="436"/>
      <c r="G18" s="437"/>
    </row>
    <row r="19" spans="2:7" ht="13.5" customHeight="1" x14ac:dyDescent="0.2">
      <c r="B19" s="435"/>
      <c r="C19" s="436"/>
      <c r="D19" s="436"/>
      <c r="E19" s="436"/>
      <c r="F19" s="436"/>
      <c r="G19" s="437"/>
    </row>
    <row r="20" spans="2:7" ht="15.75" customHeight="1" x14ac:dyDescent="0.2">
      <c r="B20" s="435"/>
      <c r="C20" s="436"/>
      <c r="D20" s="436"/>
      <c r="E20" s="436"/>
      <c r="F20" s="436"/>
      <c r="G20" s="437"/>
    </row>
    <row r="21" spans="2:7" ht="15.75" customHeight="1" x14ac:dyDescent="0.2">
      <c r="B21" s="435"/>
      <c r="C21" s="436"/>
      <c r="D21" s="436"/>
      <c r="E21" s="436"/>
      <c r="F21" s="436"/>
      <c r="G21" s="437"/>
    </row>
    <row r="22" spans="2:7" ht="15.75" customHeight="1" x14ac:dyDescent="0.2">
      <c r="B22" s="435"/>
      <c r="C22" s="436"/>
      <c r="D22" s="436"/>
      <c r="E22" s="436"/>
      <c r="F22" s="436"/>
      <c r="G22" s="437"/>
    </row>
    <row r="23" spans="2:7" ht="13.5" customHeight="1" x14ac:dyDescent="0.2">
      <c r="B23" s="435"/>
      <c r="C23" s="436"/>
      <c r="D23" s="436"/>
      <c r="E23" s="436"/>
      <c r="F23" s="436"/>
      <c r="G23" s="437"/>
    </row>
    <row r="24" spans="2:7" ht="15.75" customHeight="1" x14ac:dyDescent="0.2">
      <c r="B24" s="435"/>
      <c r="C24" s="436"/>
      <c r="D24" s="436"/>
      <c r="E24" s="436"/>
      <c r="F24" s="436"/>
      <c r="G24" s="437"/>
    </row>
    <row r="25" spans="2:7" ht="15.75" customHeight="1" x14ac:dyDescent="0.2">
      <c r="B25" s="435"/>
      <c r="C25" s="436"/>
      <c r="D25" s="436"/>
      <c r="E25" s="436"/>
      <c r="F25" s="436"/>
      <c r="G25" s="437"/>
    </row>
    <row r="26" spans="2:7" ht="15.75" customHeight="1" x14ac:dyDescent="0.2">
      <c r="B26" s="435"/>
      <c r="C26" s="436"/>
      <c r="D26" s="436"/>
      <c r="E26" s="436"/>
      <c r="F26" s="436"/>
      <c r="G26" s="437"/>
    </row>
    <row r="27" spans="2:7" ht="15.75" customHeight="1" x14ac:dyDescent="0.2">
      <c r="B27" s="435"/>
      <c r="C27" s="436"/>
      <c r="D27" s="436"/>
      <c r="E27" s="436"/>
      <c r="F27" s="436"/>
      <c r="G27" s="437"/>
    </row>
    <row r="28" spans="2:7" ht="15.75" customHeight="1" x14ac:dyDescent="0.2">
      <c r="B28" s="435"/>
      <c r="C28" s="436"/>
      <c r="D28" s="436"/>
      <c r="E28" s="436"/>
      <c r="F28" s="436"/>
      <c r="G28" s="437"/>
    </row>
    <row r="29" spans="2:7" ht="15.75" customHeight="1" x14ac:dyDescent="0.2">
      <c r="B29" s="435"/>
      <c r="C29" s="436"/>
      <c r="D29" s="436"/>
      <c r="E29" s="436"/>
      <c r="F29" s="436"/>
      <c r="G29" s="437"/>
    </row>
    <row r="30" spans="2:7" ht="15.75" customHeight="1" x14ac:dyDescent="0.2">
      <c r="B30" s="435"/>
      <c r="C30" s="436"/>
      <c r="D30" s="436"/>
      <c r="E30" s="436"/>
      <c r="F30" s="436"/>
      <c r="G30" s="437"/>
    </row>
    <row r="31" spans="2:7" ht="13.5" customHeight="1" x14ac:dyDescent="0.2">
      <c r="B31" s="435"/>
      <c r="C31" s="436"/>
      <c r="D31" s="436"/>
      <c r="E31" s="436"/>
      <c r="F31" s="436"/>
      <c r="G31" s="437"/>
    </row>
    <row r="32" spans="2:7" ht="15.75" customHeight="1" x14ac:dyDescent="0.2">
      <c r="B32" s="435"/>
      <c r="C32" s="436"/>
      <c r="D32" s="436"/>
      <c r="E32" s="436"/>
      <c r="F32" s="436"/>
      <c r="G32" s="437"/>
    </row>
    <row r="33" spans="2:7" ht="15.75" customHeight="1" x14ac:dyDescent="0.2">
      <c r="B33" s="435"/>
      <c r="C33" s="436"/>
      <c r="D33" s="436"/>
      <c r="E33" s="436"/>
      <c r="F33" s="436"/>
      <c r="G33" s="437"/>
    </row>
    <row r="34" spans="2:7" ht="13.5" customHeight="1" x14ac:dyDescent="0.2">
      <c r="B34" s="435"/>
      <c r="C34" s="436"/>
      <c r="D34" s="436"/>
      <c r="E34" s="436"/>
      <c r="F34" s="436"/>
      <c r="G34" s="437"/>
    </row>
    <row r="35" spans="2:7" ht="15.75" customHeight="1" x14ac:dyDescent="0.2">
      <c r="B35" s="435"/>
      <c r="C35" s="436"/>
      <c r="D35" s="436"/>
      <c r="E35" s="436"/>
      <c r="F35" s="436"/>
      <c r="G35" s="437"/>
    </row>
    <row r="36" spans="2:7" ht="13.5" customHeight="1" x14ac:dyDescent="0.2">
      <c r="B36" s="435"/>
      <c r="C36" s="436"/>
      <c r="D36" s="436"/>
      <c r="E36" s="436"/>
      <c r="F36" s="436"/>
      <c r="G36" s="437"/>
    </row>
    <row r="37" spans="2:7" ht="15.75" customHeight="1" x14ac:dyDescent="0.2">
      <c r="B37" s="435"/>
      <c r="C37" s="436"/>
      <c r="D37" s="436"/>
      <c r="E37" s="436"/>
      <c r="F37" s="436"/>
      <c r="G37" s="437"/>
    </row>
    <row r="38" spans="2:7" ht="15.75" customHeight="1" x14ac:dyDescent="0.2">
      <c r="B38" s="435"/>
      <c r="C38" s="436"/>
      <c r="D38" s="436"/>
      <c r="E38" s="436"/>
      <c r="F38" s="436"/>
      <c r="G38" s="437"/>
    </row>
    <row r="39" spans="2:7" ht="15" customHeight="1" x14ac:dyDescent="0.2">
      <c r="B39" s="438"/>
      <c r="C39" s="439"/>
      <c r="D39" s="439"/>
      <c r="E39" s="439"/>
      <c r="F39" s="439"/>
      <c r="G39" s="440"/>
    </row>
    <row r="45" spans="2:7" x14ac:dyDescent="0.2">
      <c r="B45" s="241"/>
      <c r="C45" s="241"/>
      <c r="D45" s="241"/>
      <c r="E45" s="241"/>
      <c r="F45" s="241"/>
      <c r="G45" s="241"/>
    </row>
    <row r="46" spans="2:7" x14ac:dyDescent="0.2">
      <c r="C46" s="417" t="str">
        <f>+ENTE!D10</f>
        <v>ING. ENRIQUE DE ECHAVARRI LARY</v>
      </c>
      <c r="D46" s="417"/>
      <c r="E46" s="417" t="str">
        <f>+ENTE!D14</f>
        <v>LIC. RICARDO SALVADOR BACA MUÑOZ</v>
      </c>
      <c r="F46" s="279"/>
      <c r="G46" s="417"/>
    </row>
    <row r="47" spans="2:7" x14ac:dyDescent="0.2">
      <c r="C47" s="418" t="str">
        <f>+ENTE!D12</f>
        <v>COORDINADOR GENERAL</v>
      </c>
      <c r="D47" s="418"/>
      <c r="E47" s="418" t="str">
        <f>+ENTE!D16</f>
        <v>DIRECTOR DE ADMINISTRACIÓN</v>
      </c>
      <c r="F47" s="279"/>
      <c r="G47" s="418"/>
    </row>
    <row r="48" spans="2:7" x14ac:dyDescent="0.2">
      <c r="C48" s="279"/>
      <c r="D48" s="279"/>
      <c r="E48" s="279"/>
      <c r="F48" s="279"/>
      <c r="G48" s="279"/>
    </row>
  </sheetData>
  <sheetProtection algorithmName="SHA-512" hashValue="KpJIFLoGn3tI0w9P7/NRsEpE/Bc5OZQR0VPHPAHSiRMU8TPW88oOUIYKJ1otK3P4up7YEod/8S5cuFpZLtgCkw==" saltValue="51FUs3VU76GfawmsPYHO4Q==" spinCount="100000" sheet="1" objects="1" scenarios="1"/>
  <mergeCells count="9">
    <mergeCell ref="D9:D10"/>
    <mergeCell ref="B9:C10"/>
    <mergeCell ref="E9:G10"/>
    <mergeCell ref="B2:G2"/>
    <mergeCell ref="B3:G3"/>
    <mergeCell ref="B4:G4"/>
    <mergeCell ref="B5:G5"/>
    <mergeCell ref="C7:F7"/>
    <mergeCell ref="B8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2" orientation="landscape" r:id="rId1"/>
  <headerFooter>
    <oddFooter>&amp;C&amp;A&amp;RPágina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8"/>
  <sheetViews>
    <sheetView view="pageBreakPreview" zoomScale="96" zoomScaleNormal="100" zoomScaleSheetLayoutView="96" workbookViewId="0">
      <selection activeCell="D11" sqref="D11"/>
    </sheetView>
  </sheetViews>
  <sheetFormatPr baseColWidth="10" defaultRowHeight="12" x14ac:dyDescent="0.2"/>
  <cols>
    <col min="1" max="1" width="3.42578125" style="232" customWidth="1"/>
    <col min="2" max="2" width="39.5703125" style="232" customWidth="1"/>
    <col min="3" max="3" width="22.7109375" style="232" customWidth="1"/>
    <col min="4" max="4" width="56.42578125" style="232" bestFit="1" customWidth="1"/>
    <col min="5" max="5" width="24.140625" style="232" customWidth="1"/>
    <col min="6" max="6" width="17" style="232" customWidth="1"/>
    <col min="7" max="7" width="16.5703125" style="232" bestFit="1" customWidth="1"/>
    <col min="8" max="8" width="3.28515625" style="232" customWidth="1"/>
    <col min="9" max="16384" width="11.42578125" style="232"/>
  </cols>
  <sheetData>
    <row r="2" spans="1:8" x14ac:dyDescent="0.2">
      <c r="B2" s="522"/>
      <c r="C2" s="522"/>
      <c r="D2" s="522"/>
      <c r="E2" s="522"/>
      <c r="F2" s="522"/>
      <c r="G2" s="522"/>
    </row>
    <row r="3" spans="1:8" x14ac:dyDescent="0.2">
      <c r="B3" s="522"/>
      <c r="C3" s="522"/>
      <c r="D3" s="522"/>
      <c r="E3" s="522"/>
      <c r="F3" s="522"/>
      <c r="G3" s="522"/>
    </row>
    <row r="4" spans="1:8" x14ac:dyDescent="0.2">
      <c r="B4" s="522" t="s">
        <v>1036</v>
      </c>
      <c r="C4" s="522"/>
      <c r="D4" s="522"/>
      <c r="E4" s="522"/>
      <c r="F4" s="522"/>
      <c r="G4" s="522"/>
    </row>
    <row r="5" spans="1:8" x14ac:dyDescent="0.2">
      <c r="B5" s="522" t="str">
        <f>"Del 1 de enero al "&amp;TEXT(INDEX(Periodos,ENTE!D18,1),"dd")&amp;" de "&amp;TEXT(INDEX(Periodos,ENTE!D18,1),"mmmm")&amp;" de "&amp;TEXT(INDEX(Periodos,ENTE!D18,1),"aaaa")&amp;""</f>
        <v>Del 1 de enero al 31 de diciembre de 2018</v>
      </c>
      <c r="C5" s="522"/>
      <c r="D5" s="522"/>
      <c r="E5" s="522"/>
      <c r="F5" s="522"/>
      <c r="G5" s="522"/>
    </row>
    <row r="6" spans="1:8" x14ac:dyDescent="0.2">
      <c r="B6" s="425"/>
      <c r="C6" s="425"/>
      <c r="D6" s="425"/>
      <c r="E6" s="425"/>
      <c r="F6" s="425"/>
      <c r="G6" s="425"/>
    </row>
    <row r="7" spans="1:8" x14ac:dyDescent="0.2">
      <c r="B7" s="427" t="s">
        <v>1035</v>
      </c>
      <c r="C7" s="523" t="str">
        <f>+ENTE!D8</f>
        <v>UNIDAD DE SERVICIOS PARA LA EDUCACIÓN BÁSICA EN EL ESTADO DE QUERÉTARO</v>
      </c>
      <c r="D7" s="523"/>
      <c r="E7" s="523"/>
      <c r="F7" s="523"/>
      <c r="G7" s="428"/>
    </row>
    <row r="8" spans="1:8" x14ac:dyDescent="0.2">
      <c r="A8" s="241"/>
      <c r="B8" s="522"/>
      <c r="C8" s="522"/>
      <c r="D8" s="522"/>
      <c r="E8" s="522"/>
      <c r="F8" s="522"/>
      <c r="G8" s="522"/>
      <c r="H8" s="241"/>
    </row>
    <row r="9" spans="1:8" ht="15.75" customHeight="1" x14ac:dyDescent="0.2">
      <c r="B9" s="516" t="s">
        <v>1048</v>
      </c>
      <c r="C9" s="514" t="s">
        <v>1049</v>
      </c>
      <c r="D9" s="514" t="s">
        <v>1050</v>
      </c>
      <c r="E9" s="518" t="s">
        <v>1054</v>
      </c>
      <c r="F9" s="518"/>
      <c r="G9" s="524" t="s">
        <v>1053</v>
      </c>
    </row>
    <row r="10" spans="1:8" x14ac:dyDescent="0.2">
      <c r="B10" s="517"/>
      <c r="C10" s="515"/>
      <c r="D10" s="515"/>
      <c r="E10" s="429" t="s">
        <v>1051</v>
      </c>
      <c r="F10" s="429" t="s">
        <v>1052</v>
      </c>
      <c r="G10" s="525"/>
    </row>
    <row r="11" spans="1:8" ht="13.5" customHeight="1" x14ac:dyDescent="0.2">
      <c r="B11" s="435"/>
      <c r="C11" s="436"/>
      <c r="D11" s="436"/>
      <c r="E11" s="436"/>
      <c r="F11" s="436"/>
      <c r="G11" s="437"/>
    </row>
    <row r="12" spans="1:8" ht="15.75" customHeight="1" x14ac:dyDescent="0.2">
      <c r="B12" s="435"/>
      <c r="C12" s="436"/>
      <c r="D12" s="436"/>
      <c r="E12" s="436"/>
      <c r="F12" s="436"/>
      <c r="G12" s="437"/>
    </row>
    <row r="13" spans="1:8" ht="15.75" customHeight="1" x14ac:dyDescent="0.2">
      <c r="B13" s="435"/>
      <c r="C13" s="436"/>
      <c r="D13" s="436"/>
      <c r="E13" s="436"/>
      <c r="F13" s="436"/>
      <c r="G13" s="437"/>
    </row>
    <row r="14" spans="1:8" ht="15.75" customHeight="1" x14ac:dyDescent="0.2">
      <c r="B14" s="435"/>
      <c r="C14" s="436"/>
      <c r="D14" s="436"/>
      <c r="E14" s="436"/>
      <c r="F14" s="436"/>
      <c r="G14" s="437"/>
    </row>
    <row r="15" spans="1:8" ht="13.5" customHeight="1" x14ac:dyDescent="0.2">
      <c r="B15" s="435"/>
      <c r="C15" s="436"/>
      <c r="D15" s="436"/>
      <c r="E15" s="436"/>
      <c r="F15" s="436"/>
      <c r="G15" s="437"/>
    </row>
    <row r="16" spans="1:8" ht="15.75" customHeight="1" x14ac:dyDescent="0.2">
      <c r="B16" s="435"/>
      <c r="C16" s="436"/>
      <c r="D16" s="436"/>
      <c r="E16" s="436"/>
      <c r="F16" s="436"/>
      <c r="G16" s="437"/>
    </row>
    <row r="17" spans="2:7" ht="15.75" customHeight="1" x14ac:dyDescent="0.2">
      <c r="B17" s="435"/>
      <c r="C17" s="436"/>
      <c r="D17" s="436"/>
      <c r="E17" s="436"/>
      <c r="F17" s="436"/>
      <c r="G17" s="437"/>
    </row>
    <row r="18" spans="2:7" ht="15.75" customHeight="1" x14ac:dyDescent="0.2">
      <c r="B18" s="435"/>
      <c r="C18" s="436"/>
      <c r="D18" s="436"/>
      <c r="E18" s="436"/>
      <c r="F18" s="436"/>
      <c r="G18" s="437"/>
    </row>
    <row r="19" spans="2:7" ht="13.5" customHeight="1" x14ac:dyDescent="0.2">
      <c r="B19" s="435"/>
      <c r="C19" s="436"/>
      <c r="D19" s="436"/>
      <c r="E19" s="436"/>
      <c r="F19" s="436"/>
      <c r="G19" s="437"/>
    </row>
    <row r="20" spans="2:7" ht="15.75" customHeight="1" x14ac:dyDescent="0.2">
      <c r="B20" s="435"/>
      <c r="C20" s="436"/>
      <c r="D20" s="436"/>
      <c r="E20" s="436"/>
      <c r="F20" s="436"/>
      <c r="G20" s="437"/>
    </row>
    <row r="21" spans="2:7" ht="15.75" customHeight="1" x14ac:dyDescent="0.2">
      <c r="B21" s="435"/>
      <c r="C21" s="436"/>
      <c r="D21" s="436"/>
      <c r="E21" s="436"/>
      <c r="F21" s="436"/>
      <c r="G21" s="437"/>
    </row>
    <row r="22" spans="2:7" ht="15.75" customHeight="1" x14ac:dyDescent="0.2">
      <c r="B22" s="435"/>
      <c r="C22" s="436"/>
      <c r="D22" s="436"/>
      <c r="E22" s="436"/>
      <c r="F22" s="436"/>
      <c r="G22" s="437"/>
    </row>
    <row r="23" spans="2:7" ht="13.5" customHeight="1" x14ac:dyDescent="0.2">
      <c r="B23" s="435"/>
      <c r="C23" s="436"/>
      <c r="D23" s="436"/>
      <c r="E23" s="436"/>
      <c r="F23" s="436"/>
      <c r="G23" s="437"/>
    </row>
    <row r="24" spans="2:7" ht="15.75" customHeight="1" x14ac:dyDescent="0.2">
      <c r="B24" s="435"/>
      <c r="C24" s="436"/>
      <c r="D24" s="436"/>
      <c r="E24" s="436"/>
      <c r="F24" s="436"/>
      <c r="G24" s="437"/>
    </row>
    <row r="25" spans="2:7" ht="15.75" customHeight="1" x14ac:dyDescent="0.2">
      <c r="B25" s="435"/>
      <c r="C25" s="436"/>
      <c r="D25" s="436"/>
      <c r="E25" s="436"/>
      <c r="F25" s="436"/>
      <c r="G25" s="437"/>
    </row>
    <row r="26" spans="2:7" ht="15.75" customHeight="1" x14ac:dyDescent="0.2">
      <c r="B26" s="435"/>
      <c r="C26" s="436"/>
      <c r="D26" s="436"/>
      <c r="E26" s="436"/>
      <c r="F26" s="436"/>
      <c r="G26" s="437"/>
    </row>
    <row r="27" spans="2:7" ht="15.75" customHeight="1" x14ac:dyDescent="0.2">
      <c r="B27" s="435"/>
      <c r="C27" s="436"/>
      <c r="D27" s="436"/>
      <c r="E27" s="436"/>
      <c r="F27" s="436"/>
      <c r="G27" s="437"/>
    </row>
    <row r="28" spans="2:7" ht="15.75" customHeight="1" x14ac:dyDescent="0.2">
      <c r="B28" s="435"/>
      <c r="C28" s="436"/>
      <c r="D28" s="436"/>
      <c r="E28" s="436"/>
      <c r="F28" s="436"/>
      <c r="G28" s="437"/>
    </row>
    <row r="29" spans="2:7" ht="15.75" customHeight="1" x14ac:dyDescent="0.2">
      <c r="B29" s="435"/>
      <c r="C29" s="436"/>
      <c r="D29" s="436"/>
      <c r="E29" s="436"/>
      <c r="F29" s="436"/>
      <c r="G29" s="437"/>
    </row>
    <row r="30" spans="2:7" ht="15.75" customHeight="1" x14ac:dyDescent="0.2">
      <c r="B30" s="435"/>
      <c r="C30" s="436"/>
      <c r="D30" s="436"/>
      <c r="E30" s="436"/>
      <c r="F30" s="436"/>
      <c r="G30" s="437"/>
    </row>
    <row r="31" spans="2:7" ht="13.5" customHeight="1" x14ac:dyDescent="0.2">
      <c r="B31" s="435"/>
      <c r="C31" s="436"/>
      <c r="D31" s="436"/>
      <c r="E31" s="436"/>
      <c r="F31" s="436"/>
      <c r="G31" s="437"/>
    </row>
    <row r="32" spans="2:7" ht="15.75" customHeight="1" x14ac:dyDescent="0.2">
      <c r="B32" s="435"/>
      <c r="C32" s="436"/>
      <c r="D32" s="436"/>
      <c r="E32" s="436"/>
      <c r="F32" s="436"/>
      <c r="G32" s="437"/>
    </row>
    <row r="33" spans="2:7" ht="15.75" customHeight="1" x14ac:dyDescent="0.2">
      <c r="B33" s="435"/>
      <c r="C33" s="436"/>
      <c r="D33" s="436"/>
      <c r="E33" s="436"/>
      <c r="F33" s="436"/>
      <c r="G33" s="437"/>
    </row>
    <row r="34" spans="2:7" ht="13.5" customHeight="1" x14ac:dyDescent="0.2">
      <c r="B34" s="435"/>
      <c r="C34" s="436"/>
      <c r="D34" s="436"/>
      <c r="E34" s="436"/>
      <c r="F34" s="436"/>
      <c r="G34" s="437"/>
    </row>
    <row r="35" spans="2:7" ht="15.75" customHeight="1" x14ac:dyDescent="0.2">
      <c r="B35" s="435"/>
      <c r="C35" s="436"/>
      <c r="D35" s="436"/>
      <c r="E35" s="436"/>
      <c r="F35" s="436"/>
      <c r="G35" s="437"/>
    </row>
    <row r="36" spans="2:7" ht="13.5" customHeight="1" x14ac:dyDescent="0.2">
      <c r="B36" s="435"/>
      <c r="C36" s="436"/>
      <c r="D36" s="436"/>
      <c r="E36" s="436"/>
      <c r="F36" s="436"/>
      <c r="G36" s="437"/>
    </row>
    <row r="37" spans="2:7" ht="15.75" customHeight="1" x14ac:dyDescent="0.2">
      <c r="B37" s="435"/>
      <c r="C37" s="436"/>
      <c r="D37" s="436"/>
      <c r="E37" s="436"/>
      <c r="F37" s="436"/>
      <c r="G37" s="437"/>
    </row>
    <row r="38" spans="2:7" ht="15.75" customHeight="1" x14ac:dyDescent="0.2">
      <c r="B38" s="435"/>
      <c r="C38" s="436"/>
      <c r="D38" s="436"/>
      <c r="E38" s="436"/>
      <c r="F38" s="436"/>
      <c r="G38" s="437"/>
    </row>
    <row r="39" spans="2:7" ht="15" customHeight="1" x14ac:dyDescent="0.2">
      <c r="B39" s="438"/>
      <c r="C39" s="439"/>
      <c r="D39" s="439"/>
      <c r="E39" s="439"/>
      <c r="F39" s="439"/>
      <c r="G39" s="440"/>
    </row>
    <row r="45" spans="2:7" x14ac:dyDescent="0.2">
      <c r="B45" s="241"/>
      <c r="C45" s="241"/>
      <c r="D45" s="241"/>
      <c r="E45" s="241"/>
      <c r="F45" s="241"/>
      <c r="G45" s="241"/>
    </row>
    <row r="46" spans="2:7" x14ac:dyDescent="0.2">
      <c r="C46" s="417" t="str">
        <f>+ENTE!D10</f>
        <v>ING. ENRIQUE DE ECHAVARRI LARY</v>
      </c>
      <c r="D46" s="278"/>
      <c r="E46" s="417" t="str">
        <f>+ENTE!D14</f>
        <v>LIC. RICARDO SALVADOR BACA MUÑOZ</v>
      </c>
      <c r="F46" s="279"/>
      <c r="G46" s="417"/>
    </row>
    <row r="47" spans="2:7" x14ac:dyDescent="0.2">
      <c r="C47" s="418" t="str">
        <f>+ENTE!D12</f>
        <v>COORDINADOR GENERAL</v>
      </c>
      <c r="D47" s="426"/>
      <c r="E47" s="418" t="str">
        <f>+ENTE!D16</f>
        <v>DIRECTOR DE ADMINISTRACIÓN</v>
      </c>
      <c r="F47" s="279"/>
      <c r="G47" s="418"/>
    </row>
    <row r="48" spans="2:7" x14ac:dyDescent="0.2">
      <c r="C48" s="279"/>
      <c r="D48" s="279"/>
      <c r="E48" s="279"/>
      <c r="F48" s="279"/>
      <c r="G48" s="279"/>
    </row>
  </sheetData>
  <sheetProtection algorithmName="SHA-512" hashValue="lkyBTnjk/Vl5YYjJDRBxG3KzNKoHNPWvFdvc6uotFI26L1q/vs1N6uN9nVnbrc0t/iAN1KKMsyO/bKLy1bYkxw==" saltValue="U20+EN4l0BosIhmceDGDYw==" spinCount="100000" sheet="1" objects="1" scenarios="1"/>
  <mergeCells count="11">
    <mergeCell ref="E9:F9"/>
    <mergeCell ref="G9:G10"/>
    <mergeCell ref="B2:G2"/>
    <mergeCell ref="B3:G3"/>
    <mergeCell ref="B4:G4"/>
    <mergeCell ref="B5:G5"/>
    <mergeCell ref="B8:G8"/>
    <mergeCell ref="C7:F7"/>
    <mergeCell ref="B9:B10"/>
    <mergeCell ref="C9:C10"/>
    <mergeCell ref="D9:D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3" orientation="landscape" r:id="rId1"/>
  <headerFooter>
    <oddFooter>&amp;C&amp;A&amp;RPágina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B2:S51"/>
  <sheetViews>
    <sheetView showGridLines="0" view="pageBreakPreview" topLeftCell="A10" zoomScaleSheetLayoutView="100" workbookViewId="0">
      <selection activeCell="H36" sqref="H36"/>
    </sheetView>
  </sheetViews>
  <sheetFormatPr baseColWidth="10" defaultRowHeight="12" x14ac:dyDescent="0.2"/>
  <cols>
    <col min="1" max="1" width="1.28515625" style="22" customWidth="1"/>
    <col min="2" max="2" width="4.85546875" style="28" customWidth="1"/>
    <col min="3" max="3" width="14.5703125" style="28" customWidth="1"/>
    <col min="4" max="4" width="18.85546875" style="28" customWidth="1"/>
    <col min="5" max="5" width="21.85546875" style="28" customWidth="1"/>
    <col min="6" max="6" width="3.42578125" style="28" customWidth="1"/>
    <col min="7" max="7" width="18.28515625" style="28" bestFit="1" customWidth="1"/>
    <col min="8" max="8" width="19.7109375" style="28" bestFit="1" customWidth="1"/>
    <col min="9" max="9" width="20.7109375" style="28" customWidth="1"/>
    <col min="10" max="10" width="20.85546875" style="28" customWidth="1"/>
    <col min="11" max="11" width="3.7109375" style="28" customWidth="1"/>
    <col min="12" max="12" width="1.5703125" style="28" customWidth="1"/>
    <col min="13" max="16384" width="11.42578125" style="22"/>
  </cols>
  <sheetData>
    <row r="2" spans="2:19" s="23" customFormat="1" ht="12" hidden="1" customHeight="1" x14ac:dyDescent="0.2">
      <c r="B2" s="22"/>
      <c r="C2" s="474"/>
      <c r="D2" s="474"/>
      <c r="E2" s="474"/>
      <c r="F2" s="474"/>
      <c r="G2" s="474"/>
      <c r="H2" s="474"/>
      <c r="I2" s="474"/>
      <c r="J2" s="474"/>
      <c r="K2" s="474"/>
      <c r="L2" s="209"/>
      <c r="M2" s="102"/>
      <c r="R2" s="22"/>
      <c r="S2" s="22"/>
    </row>
    <row r="3" spans="2:19" ht="12" customHeight="1" x14ac:dyDescent="0.2">
      <c r="C3" s="475" t="s">
        <v>761</v>
      </c>
      <c r="D3" s="475"/>
      <c r="E3" s="475"/>
      <c r="F3" s="475"/>
      <c r="G3" s="475"/>
      <c r="H3" s="475"/>
      <c r="I3" s="475"/>
      <c r="J3" s="475"/>
      <c r="K3" s="475"/>
      <c r="L3" s="211"/>
    </row>
    <row r="4" spans="2:19" ht="12" customHeight="1" x14ac:dyDescent="0.2">
      <c r="C4" s="475" t="str">
        <f>"Del 1 de enero al "&amp;TEXT(INDEX(Periodos,ENTE!D18,1),"dd")&amp;" de "&amp;TEXT(INDEX(Periodos,ENTE!D18,1),"mmmm")&amp;" de "&amp;TEXT(INDEX(Periodos,ENTE!D18,1),"aaaa")&amp;" "</f>
        <v xml:space="preserve">Del 1 de enero al 31 de diciembre de 2018 </v>
      </c>
      <c r="D4" s="475"/>
      <c r="E4" s="475"/>
      <c r="F4" s="475"/>
      <c r="G4" s="475"/>
      <c r="H4" s="475"/>
      <c r="I4" s="475"/>
      <c r="J4" s="475"/>
      <c r="K4" s="475"/>
      <c r="L4" s="211"/>
    </row>
    <row r="5" spans="2:19" ht="12" customHeight="1" x14ac:dyDescent="0.2">
      <c r="C5" s="475" t="s">
        <v>624</v>
      </c>
      <c r="D5" s="475"/>
      <c r="E5" s="475"/>
      <c r="F5" s="475"/>
      <c r="G5" s="475"/>
      <c r="H5" s="475"/>
      <c r="I5" s="475"/>
      <c r="J5" s="475"/>
      <c r="K5" s="475"/>
      <c r="L5" s="211"/>
    </row>
    <row r="6" spans="2:19" ht="12" customHeight="1" x14ac:dyDescent="0.2">
      <c r="C6" s="281"/>
      <c r="D6" s="281"/>
      <c r="E6" s="281"/>
      <c r="F6" s="281"/>
      <c r="G6" s="281"/>
      <c r="H6" s="281"/>
      <c r="I6" s="281"/>
      <c r="J6" s="281"/>
      <c r="K6" s="281"/>
      <c r="L6" s="281"/>
    </row>
    <row r="7" spans="2:19" x14ac:dyDescent="0.2">
      <c r="B7" s="78"/>
      <c r="C7" s="26" t="s">
        <v>6</v>
      </c>
      <c r="D7" s="477" t="str">
        <f>ENTE!D8</f>
        <v>UNIDAD DE SERVICIOS PARA LA EDUCACIÓN BÁSICA EN EL ESTADO DE QUERÉTARO</v>
      </c>
      <c r="E7" s="477"/>
      <c r="F7" s="477"/>
      <c r="G7" s="477"/>
      <c r="H7" s="477"/>
      <c r="I7" s="477"/>
      <c r="J7" s="477"/>
      <c r="K7" s="477"/>
      <c r="L7" s="76"/>
      <c r="M7" s="116"/>
    </row>
    <row r="8" spans="2:19" ht="5.0999999999999996" customHeight="1" x14ac:dyDescent="0.2">
      <c r="B8" s="131"/>
      <c r="C8" s="481"/>
      <c r="D8" s="481"/>
      <c r="E8" s="481"/>
      <c r="F8" s="481"/>
      <c r="G8" s="481"/>
      <c r="H8" s="481"/>
      <c r="I8" s="481"/>
      <c r="J8" s="481"/>
      <c r="K8" s="481"/>
      <c r="L8" s="212"/>
    </row>
    <row r="9" spans="2:19" ht="3" customHeight="1" x14ac:dyDescent="0.2">
      <c r="B9" s="131"/>
      <c r="C9" s="481"/>
      <c r="D9" s="481"/>
      <c r="E9" s="481"/>
      <c r="F9" s="481"/>
      <c r="G9" s="481"/>
      <c r="H9" s="481"/>
      <c r="I9" s="481"/>
      <c r="J9" s="481"/>
      <c r="K9" s="481"/>
      <c r="L9" s="212"/>
    </row>
    <row r="10" spans="2:19" ht="30" customHeight="1" x14ac:dyDescent="0.2">
      <c r="B10" s="186"/>
      <c r="C10" s="479" t="s">
        <v>762</v>
      </c>
      <c r="D10" s="479"/>
      <c r="E10" s="479"/>
      <c r="F10" s="187"/>
      <c r="G10" s="188" t="s">
        <v>763</v>
      </c>
      <c r="H10" s="188" t="s">
        <v>764</v>
      </c>
      <c r="I10" s="187" t="s">
        <v>765</v>
      </c>
      <c r="J10" s="187" t="s">
        <v>766</v>
      </c>
      <c r="K10" s="189"/>
      <c r="L10" s="212"/>
    </row>
    <row r="11" spans="2:19" ht="3" customHeight="1" x14ac:dyDescent="0.2">
      <c r="B11" s="132"/>
      <c r="C11" s="481"/>
      <c r="D11" s="481"/>
      <c r="E11" s="481"/>
      <c r="F11" s="481"/>
      <c r="G11" s="481"/>
      <c r="H11" s="481"/>
      <c r="I11" s="481"/>
      <c r="J11" s="481"/>
      <c r="K11" s="510"/>
      <c r="L11" s="212"/>
    </row>
    <row r="12" spans="2:19" ht="9.9499999999999993" customHeight="1" x14ac:dyDescent="0.2">
      <c r="B12" s="83"/>
      <c r="C12" s="512"/>
      <c r="D12" s="512"/>
      <c r="E12" s="512"/>
      <c r="F12" s="512"/>
      <c r="G12" s="512"/>
      <c r="H12" s="512"/>
      <c r="I12" s="512"/>
      <c r="J12" s="512"/>
      <c r="K12" s="513"/>
      <c r="L12" s="213"/>
    </row>
    <row r="13" spans="2:19" x14ac:dyDescent="0.2">
      <c r="B13" s="83"/>
      <c r="C13" s="527" t="s">
        <v>767</v>
      </c>
      <c r="D13" s="527"/>
      <c r="E13" s="527"/>
      <c r="F13" s="133"/>
      <c r="G13" s="133"/>
      <c r="H13" s="133"/>
      <c r="I13" s="133"/>
      <c r="J13" s="133"/>
      <c r="K13" s="134"/>
      <c r="L13" s="133"/>
    </row>
    <row r="14" spans="2:19" x14ac:dyDescent="0.2">
      <c r="B14" s="135"/>
      <c r="C14" s="483" t="s">
        <v>768</v>
      </c>
      <c r="D14" s="483"/>
      <c r="E14" s="483"/>
      <c r="F14" s="72"/>
      <c r="G14" s="291"/>
      <c r="H14" s="291"/>
      <c r="I14" s="72"/>
      <c r="J14" s="72"/>
      <c r="K14" s="136"/>
      <c r="L14" s="72"/>
    </row>
    <row r="15" spans="2:19" x14ac:dyDescent="0.2">
      <c r="B15" s="135"/>
      <c r="C15" s="527" t="s">
        <v>769</v>
      </c>
      <c r="D15" s="527"/>
      <c r="E15" s="527"/>
      <c r="F15" s="72"/>
      <c r="G15" s="292"/>
      <c r="H15" s="292"/>
      <c r="I15" s="107">
        <f>SUM(I16:I18)</f>
        <v>0</v>
      </c>
      <c r="J15" s="107">
        <f>SUM(J16:J18)</f>
        <v>0</v>
      </c>
      <c r="K15" s="119"/>
      <c r="L15" s="121"/>
    </row>
    <row r="16" spans="2:19" x14ac:dyDescent="0.2">
      <c r="B16" s="32"/>
      <c r="C16" s="137"/>
      <c r="D16" s="470" t="s">
        <v>770</v>
      </c>
      <c r="E16" s="470"/>
      <c r="F16" s="72"/>
      <c r="G16" s="293"/>
      <c r="H16" s="293"/>
      <c r="I16" s="108">
        <f>-SUM('BALANZA COMPROBACION'!E338:E343)</f>
        <v>0</v>
      </c>
      <c r="J16" s="108">
        <f>ESF!J19</f>
        <v>0</v>
      </c>
      <c r="K16" s="43"/>
      <c r="L16" s="38"/>
    </row>
    <row r="17" spans="2:12" x14ac:dyDescent="0.2">
      <c r="B17" s="32"/>
      <c r="C17" s="137"/>
      <c r="D17" s="470" t="s">
        <v>771</v>
      </c>
      <c r="E17" s="470"/>
      <c r="F17" s="72"/>
      <c r="G17" s="293"/>
      <c r="H17" s="293"/>
      <c r="I17" s="108">
        <f>-SUM('BALANZA COMPROBACION'!E344:E345)</f>
        <v>0</v>
      </c>
      <c r="J17" s="108">
        <f>ESF!J20</f>
        <v>0</v>
      </c>
      <c r="K17" s="43"/>
      <c r="L17" s="38"/>
    </row>
    <row r="18" spans="2:12" x14ac:dyDescent="0.2">
      <c r="B18" s="32"/>
      <c r="C18" s="137"/>
      <c r="D18" s="470" t="s">
        <v>772</v>
      </c>
      <c r="E18" s="470"/>
      <c r="F18" s="72"/>
      <c r="G18" s="293"/>
      <c r="H18" s="293"/>
      <c r="I18" s="108">
        <v>0</v>
      </c>
      <c r="J18" s="108">
        <v>0</v>
      </c>
      <c r="K18" s="43"/>
      <c r="L18" s="38"/>
    </row>
    <row r="19" spans="2:12" ht="9.9499999999999993" customHeight="1" x14ac:dyDescent="0.2">
      <c r="B19" s="32"/>
      <c r="C19" s="137"/>
      <c r="D19" s="137"/>
      <c r="E19" s="47"/>
      <c r="F19" s="72"/>
      <c r="G19" s="294"/>
      <c r="H19" s="294"/>
      <c r="I19" s="71"/>
      <c r="J19" s="71"/>
      <c r="K19" s="43"/>
      <c r="L19" s="38"/>
    </row>
    <row r="20" spans="2:12" x14ac:dyDescent="0.2">
      <c r="B20" s="135"/>
      <c r="C20" s="527" t="s">
        <v>773</v>
      </c>
      <c r="D20" s="527"/>
      <c r="E20" s="527"/>
      <c r="F20" s="72"/>
      <c r="G20" s="292"/>
      <c r="H20" s="292"/>
      <c r="I20" s="107">
        <f>SUM(I21:I24)</f>
        <v>0</v>
      </c>
      <c r="J20" s="107">
        <f>SUM(J21:J24)</f>
        <v>0</v>
      </c>
      <c r="K20" s="119"/>
      <c r="L20" s="121"/>
    </row>
    <row r="21" spans="2:12" x14ac:dyDescent="0.2">
      <c r="B21" s="32"/>
      <c r="C21" s="137"/>
      <c r="D21" s="470" t="s">
        <v>774</v>
      </c>
      <c r="E21" s="470"/>
      <c r="F21" s="72"/>
      <c r="G21" s="293"/>
      <c r="H21" s="293"/>
      <c r="I21" s="108">
        <v>0</v>
      </c>
      <c r="J21" s="108">
        <v>0</v>
      </c>
      <c r="K21" s="43"/>
      <c r="L21" s="38"/>
    </row>
    <row r="22" spans="2:12" x14ac:dyDescent="0.2">
      <c r="B22" s="32"/>
      <c r="C22" s="137"/>
      <c r="D22" s="470" t="s">
        <v>775</v>
      </c>
      <c r="E22" s="470"/>
      <c r="F22" s="72"/>
      <c r="G22" s="293"/>
      <c r="H22" s="293"/>
      <c r="I22" s="108">
        <v>0</v>
      </c>
      <c r="J22" s="108">
        <v>0</v>
      </c>
      <c r="K22" s="43"/>
      <c r="L22" s="38"/>
    </row>
    <row r="23" spans="2:12" x14ac:dyDescent="0.2">
      <c r="B23" s="32"/>
      <c r="C23" s="137"/>
      <c r="D23" s="470" t="s">
        <v>771</v>
      </c>
      <c r="E23" s="470"/>
      <c r="F23" s="72"/>
      <c r="G23" s="293"/>
      <c r="H23" s="293"/>
      <c r="I23" s="108">
        <v>0</v>
      </c>
      <c r="J23" s="108">
        <v>0</v>
      </c>
      <c r="K23" s="43"/>
      <c r="L23" s="38"/>
    </row>
    <row r="24" spans="2:12" x14ac:dyDescent="0.2">
      <c r="B24" s="32"/>
      <c r="C24" s="38"/>
      <c r="D24" s="470" t="s">
        <v>772</v>
      </c>
      <c r="E24" s="470"/>
      <c r="F24" s="72"/>
      <c r="G24" s="293"/>
      <c r="H24" s="293"/>
      <c r="I24" s="336">
        <v>0</v>
      </c>
      <c r="J24" s="336">
        <v>0</v>
      </c>
      <c r="K24" s="43"/>
      <c r="L24" s="38"/>
    </row>
    <row r="25" spans="2:12" ht="9.9499999999999993" customHeight="1" x14ac:dyDescent="0.2">
      <c r="B25" s="32"/>
      <c r="C25" s="137"/>
      <c r="D25" s="137"/>
      <c r="E25" s="47"/>
      <c r="F25" s="72"/>
      <c r="G25" s="294"/>
      <c r="H25" s="294"/>
      <c r="I25" s="71"/>
      <c r="J25" s="71"/>
      <c r="K25" s="43"/>
      <c r="L25" s="38"/>
    </row>
    <row r="26" spans="2:12" x14ac:dyDescent="0.2">
      <c r="B26" s="138"/>
      <c r="C26" s="526" t="s">
        <v>776</v>
      </c>
      <c r="D26" s="526"/>
      <c r="E26" s="526"/>
      <c r="F26" s="49"/>
      <c r="G26" s="295"/>
      <c r="H26" s="295"/>
      <c r="I26" s="337">
        <f>I15+I20</f>
        <v>0</v>
      </c>
      <c r="J26" s="337">
        <f>J15+J20</f>
        <v>0</v>
      </c>
      <c r="K26" s="124"/>
      <c r="L26" s="215"/>
    </row>
    <row r="27" spans="2:12" x14ac:dyDescent="0.2">
      <c r="B27" s="135"/>
      <c r="C27" s="137"/>
      <c r="D27" s="137"/>
      <c r="E27" s="92"/>
      <c r="F27" s="72"/>
      <c r="G27" s="294"/>
      <c r="H27" s="294"/>
      <c r="I27" s="71"/>
      <c r="J27" s="71"/>
      <c r="K27" s="119"/>
      <c r="L27" s="121"/>
    </row>
    <row r="28" spans="2:12" x14ac:dyDescent="0.2">
      <c r="B28" s="135"/>
      <c r="C28" s="483" t="s">
        <v>777</v>
      </c>
      <c r="D28" s="483"/>
      <c r="E28" s="483"/>
      <c r="F28" s="72"/>
      <c r="G28" s="294"/>
      <c r="H28" s="294"/>
      <c r="I28" s="71"/>
      <c r="J28" s="71"/>
      <c r="K28" s="119"/>
      <c r="L28" s="121"/>
    </row>
    <row r="29" spans="2:12" x14ac:dyDescent="0.2">
      <c r="B29" s="135"/>
      <c r="C29" s="527" t="s">
        <v>769</v>
      </c>
      <c r="D29" s="527"/>
      <c r="E29" s="527"/>
      <c r="F29" s="72"/>
      <c r="G29" s="292"/>
      <c r="H29" s="292"/>
      <c r="I29" s="107">
        <f>SUM(I30:I32)</f>
        <v>0</v>
      </c>
      <c r="J29" s="107">
        <f>SUM(J30:J32)</f>
        <v>0</v>
      </c>
      <c r="K29" s="119"/>
      <c r="L29" s="121"/>
    </row>
    <row r="30" spans="2:12" x14ac:dyDescent="0.2">
      <c r="B30" s="32"/>
      <c r="C30" s="137"/>
      <c r="D30" s="470" t="s">
        <v>770</v>
      </c>
      <c r="E30" s="470"/>
      <c r="F30" s="72"/>
      <c r="G30" s="293"/>
      <c r="H30" s="293"/>
      <c r="I30" s="108">
        <f>-SUM('BALANZA COMPROBACION'!E373:E378)</f>
        <v>0</v>
      </c>
      <c r="J30" s="108">
        <f>ESF!J32</f>
        <v>0</v>
      </c>
      <c r="K30" s="43"/>
      <c r="L30" s="38"/>
    </row>
    <row r="31" spans="2:12" x14ac:dyDescent="0.2">
      <c r="B31" s="32"/>
      <c r="C31" s="38"/>
      <c r="D31" s="470" t="s">
        <v>771</v>
      </c>
      <c r="E31" s="470"/>
      <c r="F31" s="38"/>
      <c r="G31" s="296"/>
      <c r="H31" s="296"/>
      <c r="I31" s="108">
        <v>0</v>
      </c>
      <c r="J31" s="108">
        <v>0</v>
      </c>
      <c r="K31" s="43"/>
      <c r="L31" s="38"/>
    </row>
    <row r="32" spans="2:12" x14ac:dyDescent="0.2">
      <c r="B32" s="32"/>
      <c r="C32" s="38"/>
      <c r="D32" s="470" t="s">
        <v>772</v>
      </c>
      <c r="E32" s="470"/>
      <c r="F32" s="38"/>
      <c r="G32" s="296"/>
      <c r="H32" s="296"/>
      <c r="I32" s="108">
        <v>0</v>
      </c>
      <c r="J32" s="108">
        <v>0</v>
      </c>
      <c r="K32" s="43"/>
      <c r="L32" s="38"/>
    </row>
    <row r="33" spans="2:14" ht="9.9499999999999993" customHeight="1" x14ac:dyDescent="0.2">
      <c r="B33" s="32"/>
      <c r="C33" s="137"/>
      <c r="D33" s="137"/>
      <c r="E33" s="47"/>
      <c r="F33" s="72"/>
      <c r="G33" s="294"/>
      <c r="H33" s="294"/>
      <c r="I33" s="71"/>
      <c r="J33" s="71"/>
      <c r="K33" s="43"/>
      <c r="L33" s="38"/>
    </row>
    <row r="34" spans="2:14" x14ac:dyDescent="0.2">
      <c r="B34" s="135"/>
      <c r="C34" s="527" t="s">
        <v>773</v>
      </c>
      <c r="D34" s="527"/>
      <c r="E34" s="527"/>
      <c r="F34" s="72"/>
      <c r="G34" s="292"/>
      <c r="H34" s="292"/>
      <c r="I34" s="107">
        <f>SUM(I35:I38)</f>
        <v>0</v>
      </c>
      <c r="J34" s="107">
        <f>SUM(J35:J38)</f>
        <v>0</v>
      </c>
      <c r="K34" s="119"/>
      <c r="L34" s="121"/>
    </row>
    <row r="35" spans="2:14" x14ac:dyDescent="0.2">
      <c r="B35" s="32"/>
      <c r="C35" s="137"/>
      <c r="D35" s="470" t="s">
        <v>774</v>
      </c>
      <c r="E35" s="470"/>
      <c r="F35" s="72"/>
      <c r="G35" s="293"/>
      <c r="H35" s="293"/>
      <c r="I35" s="108">
        <v>0</v>
      </c>
      <c r="J35" s="108">
        <v>0</v>
      </c>
      <c r="K35" s="43"/>
      <c r="L35" s="38"/>
    </row>
    <row r="36" spans="2:14" x14ac:dyDescent="0.2">
      <c r="B36" s="32"/>
      <c r="C36" s="137"/>
      <c r="D36" s="470" t="s">
        <v>775</v>
      </c>
      <c r="E36" s="470"/>
      <c r="F36" s="72"/>
      <c r="G36" s="293"/>
      <c r="H36" s="293"/>
      <c r="I36" s="108">
        <v>0</v>
      </c>
      <c r="J36" s="108">
        <v>0</v>
      </c>
      <c r="K36" s="43"/>
      <c r="L36" s="38"/>
    </row>
    <row r="37" spans="2:14" x14ac:dyDescent="0.2">
      <c r="B37" s="32"/>
      <c r="C37" s="137"/>
      <c r="D37" s="470" t="s">
        <v>771</v>
      </c>
      <c r="E37" s="470"/>
      <c r="F37" s="72"/>
      <c r="G37" s="293"/>
      <c r="H37" s="293"/>
      <c r="I37" s="108">
        <v>0</v>
      </c>
      <c r="J37" s="108">
        <v>0</v>
      </c>
      <c r="K37" s="43"/>
      <c r="L37" s="38"/>
    </row>
    <row r="38" spans="2:14" x14ac:dyDescent="0.2">
      <c r="B38" s="32"/>
      <c r="C38" s="72"/>
      <c r="D38" s="470" t="s">
        <v>772</v>
      </c>
      <c r="E38" s="470"/>
      <c r="F38" s="72"/>
      <c r="G38" s="293"/>
      <c r="H38" s="293"/>
      <c r="I38" s="108">
        <v>0</v>
      </c>
      <c r="J38" s="108">
        <v>0</v>
      </c>
      <c r="K38" s="43"/>
      <c r="L38" s="38"/>
    </row>
    <row r="39" spans="2:14" ht="9.9499999999999993" customHeight="1" x14ac:dyDescent="0.2">
      <c r="B39" s="32"/>
      <c r="C39" s="72"/>
      <c r="D39" s="72"/>
      <c r="E39" s="47"/>
      <c r="F39" s="72"/>
      <c r="G39" s="294"/>
      <c r="H39" s="294"/>
      <c r="I39" s="71"/>
      <c r="J39" s="71"/>
      <c r="K39" s="43"/>
      <c r="L39" s="38"/>
    </row>
    <row r="40" spans="2:14" x14ac:dyDescent="0.2">
      <c r="B40" s="138"/>
      <c r="C40" s="526" t="s">
        <v>778</v>
      </c>
      <c r="D40" s="526"/>
      <c r="E40" s="526"/>
      <c r="F40" s="49"/>
      <c r="G40" s="295"/>
      <c r="H40" s="295"/>
      <c r="I40" s="337">
        <f>+I29+I34</f>
        <v>0</v>
      </c>
      <c r="J40" s="337">
        <f>+J29+J34</f>
        <v>0</v>
      </c>
      <c r="K40" s="124"/>
      <c r="L40" s="215"/>
    </row>
    <row r="41" spans="2:14" x14ac:dyDescent="0.2">
      <c r="B41" s="32"/>
      <c r="C41" s="137"/>
      <c r="D41" s="137"/>
      <c r="E41" s="47"/>
      <c r="F41" s="72"/>
      <c r="G41" s="294"/>
      <c r="H41" s="294"/>
      <c r="I41" s="71"/>
      <c r="J41" s="71"/>
      <c r="K41" s="43"/>
      <c r="L41" s="38"/>
    </row>
    <row r="42" spans="2:14" x14ac:dyDescent="0.2">
      <c r="B42" s="32"/>
      <c r="C42" s="527" t="s">
        <v>779</v>
      </c>
      <c r="D42" s="527"/>
      <c r="E42" s="527"/>
      <c r="F42" s="72"/>
      <c r="G42" s="297"/>
      <c r="H42" s="297"/>
      <c r="I42" s="107">
        <f>-SUM('BALANZA COMPROBACION'!E287:E361)+SUM('BALANZA COMPROBACION'!E338:E343)+SUM('BALANZA COMPROBACION'!E344:E345)-SUM('BALANZA COMPROBACION'!E362:E392)+SUM('BALANZA COMPROBACION'!E373:E378)</f>
        <v>9296354.5199999996</v>
      </c>
      <c r="J42" s="107">
        <f>ESF!J26-ESF!J19-ESF!J20+ESF!J37-ESF!J32</f>
        <v>3523019.99</v>
      </c>
      <c r="K42" s="43"/>
      <c r="L42" s="38"/>
      <c r="N42" s="140"/>
    </row>
    <row r="43" spans="2:14" x14ac:dyDescent="0.2">
      <c r="B43" s="32"/>
      <c r="C43" s="137"/>
      <c r="D43" s="137"/>
      <c r="E43" s="47"/>
      <c r="F43" s="72"/>
      <c r="G43" s="294"/>
      <c r="H43" s="294"/>
      <c r="I43" s="71"/>
      <c r="J43" s="71"/>
      <c r="K43" s="43"/>
      <c r="L43" s="38"/>
      <c r="N43" s="140" t="str">
        <f>IF(J44=ESF!J39," ","ERROR EN EL TOTAL DEL SALDO FINAL POR: "&amp;J44-ESF!J39)</f>
        <v xml:space="preserve"> </v>
      </c>
    </row>
    <row r="44" spans="2:14" x14ac:dyDescent="0.2">
      <c r="B44" s="141"/>
      <c r="C44" s="528" t="s">
        <v>780</v>
      </c>
      <c r="D44" s="528"/>
      <c r="E44" s="528"/>
      <c r="F44" s="142"/>
      <c r="G44" s="298"/>
      <c r="H44" s="298"/>
      <c r="I44" s="338">
        <f>I26+I40+I42</f>
        <v>9296354.5199999996</v>
      </c>
      <c r="J44" s="338">
        <f>J26+J40+J42</f>
        <v>3523019.99</v>
      </c>
      <c r="K44" s="143"/>
      <c r="L44" s="215"/>
    </row>
    <row r="45" spans="2:14" s="23" customFormat="1" ht="15" customHeight="1" x14ac:dyDescent="0.2">
      <c r="B45" s="22"/>
      <c r="C45" s="470" t="s">
        <v>681</v>
      </c>
      <c r="D45" s="470"/>
      <c r="E45" s="470"/>
      <c r="F45" s="470"/>
      <c r="G45" s="470"/>
      <c r="H45" s="470"/>
      <c r="I45" s="470"/>
      <c r="J45" s="470"/>
      <c r="K45" s="470"/>
      <c r="L45" s="210"/>
    </row>
    <row r="46" spans="2:14" s="23" customFormat="1" ht="15" customHeight="1" x14ac:dyDescent="0.2">
      <c r="B46" s="22"/>
      <c r="C46" s="309"/>
      <c r="D46" s="309"/>
      <c r="E46" s="309"/>
      <c r="F46" s="309"/>
      <c r="G46" s="309"/>
      <c r="H46" s="309"/>
      <c r="I46" s="309"/>
      <c r="J46" s="309"/>
      <c r="K46" s="309"/>
      <c r="L46" s="309"/>
    </row>
    <row r="47" spans="2:14" s="23" customFormat="1" ht="15" customHeight="1" x14ac:dyDescent="0.2">
      <c r="B47" s="22"/>
      <c r="C47" s="309"/>
      <c r="D47" s="309"/>
      <c r="E47" s="309"/>
      <c r="F47" s="309"/>
      <c r="G47" s="309"/>
      <c r="H47" s="309"/>
      <c r="I47" s="309"/>
      <c r="J47" s="309"/>
      <c r="K47" s="309"/>
      <c r="L47" s="309"/>
    </row>
    <row r="48" spans="2:14" s="23" customFormat="1" ht="28.5" customHeight="1" x14ac:dyDescent="0.2">
      <c r="B48" s="22"/>
      <c r="C48" s="47"/>
      <c r="D48" s="67"/>
      <c r="E48" s="68"/>
      <c r="F48" s="68"/>
      <c r="G48" s="22"/>
      <c r="H48" s="69"/>
      <c r="K48" s="68"/>
      <c r="L48" s="68"/>
    </row>
    <row r="49" spans="2:12" s="23" customFormat="1" ht="25.5" customHeight="1" x14ac:dyDescent="0.2">
      <c r="B49" s="22"/>
      <c r="C49" s="47"/>
      <c r="D49" s="471"/>
      <c r="E49" s="471"/>
      <c r="F49" s="68"/>
      <c r="G49" s="22"/>
      <c r="H49" s="472"/>
      <c r="I49" s="472"/>
      <c r="J49" s="68"/>
      <c r="K49" s="68"/>
      <c r="L49" s="68"/>
    </row>
    <row r="50" spans="2:12" s="23" customFormat="1" ht="14.1" customHeight="1" x14ac:dyDescent="0.2">
      <c r="B50" s="22"/>
      <c r="C50" s="71"/>
      <c r="D50" s="466" t="str">
        <f>ENTE!D10</f>
        <v>ING. ENRIQUE DE ECHAVARRI LARY</v>
      </c>
      <c r="E50" s="466"/>
      <c r="F50" s="68"/>
      <c r="G50" s="68"/>
      <c r="H50" s="466" t="str">
        <f>ENTE!D14</f>
        <v>LIC. RICARDO SALVADOR BACA MUÑOZ</v>
      </c>
      <c r="I50" s="466"/>
      <c r="J50" s="72"/>
      <c r="K50" s="68"/>
      <c r="L50" s="68"/>
    </row>
    <row r="51" spans="2:12" s="23" customFormat="1" ht="14.1" customHeight="1" x14ac:dyDescent="0.2">
      <c r="B51" s="22"/>
      <c r="C51" s="73"/>
      <c r="D51" s="467" t="str">
        <f>ENTE!D12</f>
        <v>COORDINADOR GENERAL</v>
      </c>
      <c r="E51" s="467"/>
      <c r="F51" s="74"/>
      <c r="G51" s="74"/>
      <c r="H51" s="467" t="str">
        <f>ENTE!D16</f>
        <v>DIRECTOR DE ADMINISTRACIÓN</v>
      </c>
      <c r="I51" s="467"/>
      <c r="J51" s="72"/>
      <c r="K51" s="68"/>
      <c r="L51" s="68"/>
    </row>
  </sheetData>
  <sheetProtection algorithmName="SHA-512" hashValue="yIPZK8K9moEk8G5qjvvgDSHS1mAz6nWOS0KB0f46mxzyMVNBuDSKgsCz1v660sT4BlpjBTvlyRTyMVOr5UlTNw==" saltValue="aJKyr9uD5IV+N/U9LiLlnQ==" spinCount="100000" sheet="1" objects="1" scenarios="1" selectLockedCells="1"/>
  <mergeCells count="42">
    <mergeCell ref="C10:E10"/>
    <mergeCell ref="C2:K2"/>
    <mergeCell ref="C3:K3"/>
    <mergeCell ref="C4:K4"/>
    <mergeCell ref="C5:K5"/>
    <mergeCell ref="D7:K7"/>
    <mergeCell ref="C8:K8"/>
    <mergeCell ref="C9:K9"/>
    <mergeCell ref="D23:E23"/>
    <mergeCell ref="C11:K11"/>
    <mergeCell ref="C12:K12"/>
    <mergeCell ref="C13:E13"/>
    <mergeCell ref="C14:E14"/>
    <mergeCell ref="C15:E15"/>
    <mergeCell ref="D16:E16"/>
    <mergeCell ref="D17:E17"/>
    <mergeCell ref="D18:E18"/>
    <mergeCell ref="C20:E20"/>
    <mergeCell ref="D21:E21"/>
    <mergeCell ref="D22:E22"/>
    <mergeCell ref="D38:E38"/>
    <mergeCell ref="D24:E24"/>
    <mergeCell ref="C26:E26"/>
    <mergeCell ref="C28:E28"/>
    <mergeCell ref="C29:E29"/>
    <mergeCell ref="D30:E30"/>
    <mergeCell ref="D31:E31"/>
    <mergeCell ref="D32:E32"/>
    <mergeCell ref="C34:E34"/>
    <mergeCell ref="D35:E35"/>
    <mergeCell ref="D36:E36"/>
    <mergeCell ref="D37:E37"/>
    <mergeCell ref="D50:E50"/>
    <mergeCell ref="H50:I50"/>
    <mergeCell ref="D51:E51"/>
    <mergeCell ref="H51:I51"/>
    <mergeCell ref="C40:E40"/>
    <mergeCell ref="C42:E42"/>
    <mergeCell ref="C44:E44"/>
    <mergeCell ref="C45:K45"/>
    <mergeCell ref="D49:E49"/>
    <mergeCell ref="H49:I4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&amp;C&amp;A&amp;RPágina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J60"/>
  <sheetViews>
    <sheetView view="pageBreakPreview" topLeftCell="B1" zoomScaleNormal="80" zoomScaleSheetLayoutView="100" workbookViewId="0">
      <selection activeCell="E22" sqref="E22"/>
    </sheetView>
  </sheetViews>
  <sheetFormatPr baseColWidth="10" defaultRowHeight="12" x14ac:dyDescent="0.2"/>
  <cols>
    <col min="1" max="1" width="5.42578125" style="232" customWidth="1"/>
    <col min="2" max="2" width="43.42578125" style="235" bestFit="1" customWidth="1"/>
    <col min="3" max="3" width="14.42578125" style="235" customWidth="1"/>
    <col min="4" max="4" width="15.140625" style="235" bestFit="1" customWidth="1"/>
    <col min="5" max="5" width="15.5703125" style="235" bestFit="1" customWidth="1"/>
    <col min="6" max="6" width="18.7109375" style="235" bestFit="1" customWidth="1"/>
    <col min="7" max="7" width="19.5703125" style="235" bestFit="1" customWidth="1"/>
    <col min="8" max="8" width="17.28515625" style="235" bestFit="1" customWidth="1"/>
    <col min="9" max="9" width="21.7109375" style="235" bestFit="1" customWidth="1"/>
    <col min="10" max="10" width="3.140625" style="232" customWidth="1"/>
    <col min="11" max="16384" width="11.42578125" style="235"/>
  </cols>
  <sheetData>
    <row r="1" spans="2:9" x14ac:dyDescent="0.2">
      <c r="B1" s="232"/>
      <c r="C1" s="232"/>
      <c r="D1" s="232"/>
      <c r="E1" s="232"/>
      <c r="F1" s="232"/>
      <c r="G1" s="232"/>
      <c r="H1" s="232"/>
      <c r="I1" s="232"/>
    </row>
    <row r="2" spans="2:9" hidden="1" x14ac:dyDescent="0.2">
      <c r="B2" s="474"/>
      <c r="C2" s="474"/>
      <c r="D2" s="474"/>
      <c r="E2" s="474"/>
      <c r="F2" s="474"/>
      <c r="G2" s="474"/>
      <c r="H2" s="474"/>
      <c r="I2" s="474"/>
    </row>
    <row r="3" spans="2:9" x14ac:dyDescent="0.2">
      <c r="B3" s="529" t="s">
        <v>989</v>
      </c>
      <c r="C3" s="529"/>
      <c r="D3" s="529"/>
      <c r="E3" s="529"/>
      <c r="F3" s="529"/>
      <c r="G3" s="529"/>
      <c r="H3" s="529"/>
      <c r="I3" s="529"/>
    </row>
    <row r="4" spans="2:9" x14ac:dyDescent="0.2">
      <c r="B4" s="529" t="str">
        <f>"Del 1 de enero al "&amp;TEXT(INDEX(Periodos,ENTE!D18,1),"dd")&amp;" de "&amp;TEXT(INDEX(Periodos,ENTE!D18,1),"mmmm")&amp;" de "&amp;TEXT(INDEX(Periodos,ENTE!D18,1),"aaaa")&amp;""</f>
        <v>Del 1 de enero al 31 de diciembre de 2018</v>
      </c>
      <c r="C4" s="529"/>
      <c r="D4" s="529"/>
      <c r="E4" s="529"/>
      <c r="F4" s="529"/>
      <c r="G4" s="529"/>
      <c r="H4" s="529"/>
      <c r="I4" s="529"/>
    </row>
    <row r="5" spans="2:9" x14ac:dyDescent="0.2">
      <c r="B5" s="529" t="s">
        <v>624</v>
      </c>
      <c r="C5" s="529"/>
      <c r="D5" s="529"/>
      <c r="E5" s="529"/>
      <c r="F5" s="529"/>
      <c r="G5" s="529"/>
      <c r="H5" s="529"/>
      <c r="I5" s="529"/>
    </row>
    <row r="6" spans="2:9" x14ac:dyDescent="0.2">
      <c r="B6" s="282"/>
      <c r="C6" s="282"/>
      <c r="D6" s="282"/>
      <c r="E6" s="282"/>
      <c r="F6" s="282"/>
      <c r="G6" s="282"/>
      <c r="H6" s="282"/>
      <c r="I6" s="282"/>
    </row>
    <row r="7" spans="2:9" x14ac:dyDescent="0.2">
      <c r="B7" s="234" t="s">
        <v>6</v>
      </c>
      <c r="C7" s="485" t="str">
        <f>ENTE!D8</f>
        <v>UNIDAD DE SERVICIOS PARA LA EDUCACIÓN BÁSICA EN EL ESTADO DE QUERÉTARO</v>
      </c>
      <c r="D7" s="485"/>
      <c r="E7" s="485"/>
      <c r="F7" s="485"/>
      <c r="G7" s="485"/>
      <c r="H7" s="485"/>
      <c r="I7" s="248"/>
    </row>
    <row r="8" spans="2:9" x14ac:dyDescent="0.2">
      <c r="B8" s="249"/>
      <c r="C8" s="249"/>
      <c r="D8" s="249"/>
      <c r="E8" s="249"/>
      <c r="F8" s="249"/>
      <c r="G8" s="249"/>
      <c r="H8" s="249"/>
      <c r="I8" s="249"/>
    </row>
    <row r="9" spans="2:9" ht="55.5" customHeight="1" x14ac:dyDescent="0.2">
      <c r="B9" s="253" t="s">
        <v>965</v>
      </c>
      <c r="C9" s="245" t="s">
        <v>1072</v>
      </c>
      <c r="D9" s="246" t="s">
        <v>966</v>
      </c>
      <c r="E9" s="246" t="s">
        <v>967</v>
      </c>
      <c r="F9" s="245" t="s">
        <v>990</v>
      </c>
      <c r="G9" s="246" t="s">
        <v>968</v>
      </c>
      <c r="H9" s="245" t="s">
        <v>991</v>
      </c>
      <c r="I9" s="247" t="s">
        <v>969</v>
      </c>
    </row>
    <row r="10" spans="2:9" x14ac:dyDescent="0.2">
      <c r="B10" s="250"/>
      <c r="C10" s="22"/>
      <c r="D10" s="22"/>
      <c r="E10" s="22"/>
      <c r="F10" s="22"/>
      <c r="G10" s="22"/>
      <c r="H10" s="22"/>
      <c r="I10" s="35"/>
    </row>
    <row r="11" spans="2:9" x14ac:dyDescent="0.2">
      <c r="B11" s="258" t="s">
        <v>970</v>
      </c>
      <c r="C11" s="391">
        <f>+C12+C17</f>
        <v>0</v>
      </c>
      <c r="D11" s="391">
        <f t="shared" ref="D11:I11" si="0">+D12+D17</f>
        <v>0</v>
      </c>
      <c r="E11" s="391">
        <f t="shared" si="0"/>
        <v>0</v>
      </c>
      <c r="F11" s="391">
        <f>+F12+F17</f>
        <v>0</v>
      </c>
      <c r="G11" s="391">
        <f>+G12+G17</f>
        <v>0</v>
      </c>
      <c r="H11" s="391">
        <f t="shared" si="0"/>
        <v>0</v>
      </c>
      <c r="I11" s="392">
        <f t="shared" si="0"/>
        <v>0</v>
      </c>
    </row>
    <row r="12" spans="2:9" x14ac:dyDescent="0.2">
      <c r="B12" s="266" t="s">
        <v>971</v>
      </c>
      <c r="C12" s="393">
        <f>+C13+C14+C15</f>
        <v>0</v>
      </c>
      <c r="D12" s="393">
        <f t="shared" ref="D12:I12" si="1">+D13+D14+D15</f>
        <v>0</v>
      </c>
      <c r="E12" s="393">
        <f t="shared" si="1"/>
        <v>0</v>
      </c>
      <c r="F12" s="393">
        <f t="shared" si="1"/>
        <v>0</v>
      </c>
      <c r="G12" s="393">
        <f>+G13+G14+G15</f>
        <v>0</v>
      </c>
      <c r="H12" s="393">
        <f t="shared" si="1"/>
        <v>0</v>
      </c>
      <c r="I12" s="394">
        <f t="shared" si="1"/>
        <v>0</v>
      </c>
    </row>
    <row r="13" spans="2:9" x14ac:dyDescent="0.2">
      <c r="B13" s="255" t="s">
        <v>972</v>
      </c>
      <c r="C13" s="267">
        <f>ESFD!H31</f>
        <v>0</v>
      </c>
      <c r="D13" s="267">
        <v>0</v>
      </c>
      <c r="E13" s="267">
        <v>0</v>
      </c>
      <c r="F13" s="267">
        <f>E18</f>
        <v>0</v>
      </c>
      <c r="G13" s="268">
        <f>+C13+D13-E13+F13</f>
        <v>0</v>
      </c>
      <c r="H13" s="267">
        <v>0</v>
      </c>
      <c r="I13" s="299">
        <v>0</v>
      </c>
    </row>
    <row r="14" spans="2:9" x14ac:dyDescent="0.2">
      <c r="B14" s="255" t="s">
        <v>973</v>
      </c>
      <c r="C14" s="267">
        <v>0</v>
      </c>
      <c r="D14" s="267">
        <v>0</v>
      </c>
      <c r="E14" s="267">
        <v>0</v>
      </c>
      <c r="F14" s="267">
        <v>0</v>
      </c>
      <c r="G14" s="268">
        <f>+C14+D14-E14+F14</f>
        <v>0</v>
      </c>
      <c r="H14" s="267">
        <v>0</v>
      </c>
      <c r="I14" s="299">
        <v>0</v>
      </c>
    </row>
    <row r="15" spans="2:9" x14ac:dyDescent="0.2">
      <c r="B15" s="255" t="s">
        <v>974</v>
      </c>
      <c r="C15" s="267">
        <v>0</v>
      </c>
      <c r="D15" s="267">
        <v>0</v>
      </c>
      <c r="E15" s="267">
        <v>0</v>
      </c>
      <c r="F15" s="267">
        <v>0</v>
      </c>
      <c r="G15" s="268">
        <f>+C15+D15-E15+F15</f>
        <v>0</v>
      </c>
      <c r="H15" s="267">
        <v>0</v>
      </c>
      <c r="I15" s="299">
        <v>0</v>
      </c>
    </row>
    <row r="16" spans="2:9" x14ac:dyDescent="0.2">
      <c r="B16" s="255"/>
      <c r="C16" s="268"/>
      <c r="D16" s="268"/>
      <c r="E16" s="268"/>
      <c r="F16" s="268"/>
      <c r="G16" s="268"/>
      <c r="H16" s="268"/>
      <c r="I16" s="269"/>
    </row>
    <row r="17" spans="2:9" x14ac:dyDescent="0.2">
      <c r="B17" s="266" t="s">
        <v>975</v>
      </c>
      <c r="C17" s="391">
        <f>+C18+C19+C20</f>
        <v>0</v>
      </c>
      <c r="D17" s="391">
        <f t="shared" ref="D17:I17" si="2">+D18+D19+D20</f>
        <v>0</v>
      </c>
      <c r="E17" s="391">
        <f t="shared" si="2"/>
        <v>0</v>
      </c>
      <c r="F17" s="391">
        <f t="shared" si="2"/>
        <v>0</v>
      </c>
      <c r="G17" s="391">
        <f t="shared" si="2"/>
        <v>0</v>
      </c>
      <c r="H17" s="391">
        <f t="shared" si="2"/>
        <v>0</v>
      </c>
      <c r="I17" s="392">
        <f t="shared" si="2"/>
        <v>0</v>
      </c>
    </row>
    <row r="18" spans="2:9" x14ac:dyDescent="0.2">
      <c r="B18" s="255" t="s">
        <v>976</v>
      </c>
      <c r="C18" s="267">
        <f>ESFD!H73</f>
        <v>0</v>
      </c>
      <c r="D18" s="267">
        <v>0</v>
      </c>
      <c r="E18" s="267">
        <f>ESFD!H73-ESFD!G73</f>
        <v>0</v>
      </c>
      <c r="F18" s="267">
        <v>0</v>
      </c>
      <c r="G18" s="268">
        <f>+C18+D18-E18+F18</f>
        <v>0</v>
      </c>
      <c r="H18" s="267">
        <v>0</v>
      </c>
      <c r="I18" s="299">
        <v>0</v>
      </c>
    </row>
    <row r="19" spans="2:9" x14ac:dyDescent="0.2">
      <c r="B19" s="255" t="s">
        <v>977</v>
      </c>
      <c r="C19" s="267">
        <v>0</v>
      </c>
      <c r="D19" s="267">
        <v>0</v>
      </c>
      <c r="E19" s="267">
        <v>0</v>
      </c>
      <c r="F19" s="267">
        <v>0</v>
      </c>
      <c r="G19" s="268">
        <f>+C19+D19-E19+F19</f>
        <v>0</v>
      </c>
      <c r="H19" s="267">
        <v>0</v>
      </c>
      <c r="I19" s="299">
        <v>0</v>
      </c>
    </row>
    <row r="20" spans="2:9" x14ac:dyDescent="0.2">
      <c r="B20" s="255" t="s">
        <v>978</v>
      </c>
      <c r="C20" s="267">
        <v>0</v>
      </c>
      <c r="D20" s="267">
        <v>0</v>
      </c>
      <c r="E20" s="267">
        <v>0</v>
      </c>
      <c r="F20" s="267">
        <v>0</v>
      </c>
      <c r="G20" s="268">
        <f>+C20+D20-E20+F20</f>
        <v>0</v>
      </c>
      <c r="H20" s="267">
        <v>0</v>
      </c>
      <c r="I20" s="299">
        <v>0</v>
      </c>
    </row>
    <row r="21" spans="2:9" x14ac:dyDescent="0.2">
      <c r="B21" s="255"/>
      <c r="C21" s="268"/>
      <c r="D21" s="268"/>
      <c r="E21" s="268"/>
      <c r="F21" s="268"/>
      <c r="G21" s="268"/>
      <c r="H21" s="268"/>
      <c r="I21" s="269"/>
    </row>
    <row r="22" spans="2:9" x14ac:dyDescent="0.2">
      <c r="B22" s="258" t="s">
        <v>979</v>
      </c>
      <c r="C22" s="300">
        <f>ESFD!H80-IADOP!C11</f>
        <v>9296354.5199999996</v>
      </c>
      <c r="D22" s="300">
        <v>9879121875.9899998</v>
      </c>
      <c r="E22" s="300">
        <v>9884895210.5200005</v>
      </c>
      <c r="F22" s="300">
        <v>0</v>
      </c>
      <c r="G22" s="268">
        <f>+C22+D22-E22+F22</f>
        <v>3523019.9899997711</v>
      </c>
      <c r="H22" s="300">
        <v>0</v>
      </c>
      <c r="I22" s="301">
        <v>0</v>
      </c>
    </row>
    <row r="23" spans="2:9" x14ac:dyDescent="0.2">
      <c r="B23" s="254"/>
      <c r="C23" s="268"/>
      <c r="D23" s="268"/>
      <c r="E23" s="268"/>
      <c r="F23" s="268"/>
      <c r="G23" s="268"/>
      <c r="H23" s="268"/>
      <c r="I23" s="269"/>
    </row>
    <row r="24" spans="2:9" x14ac:dyDescent="0.2">
      <c r="B24" s="258" t="s">
        <v>980</v>
      </c>
      <c r="C24" s="391">
        <f>+C11+C22</f>
        <v>9296354.5199999996</v>
      </c>
      <c r="D24" s="391">
        <f>+D11+D22</f>
        <v>9879121875.9899998</v>
      </c>
      <c r="E24" s="391">
        <f>+E11+E22</f>
        <v>9884895210.5200005</v>
      </c>
      <c r="F24" s="391">
        <f>+F11+F22</f>
        <v>0</v>
      </c>
      <c r="G24" s="391">
        <f>+G11+G22</f>
        <v>3523019.9899997711</v>
      </c>
      <c r="H24" s="391">
        <f>+H11+H17</f>
        <v>0</v>
      </c>
      <c r="I24" s="392">
        <f>+I11+I17</f>
        <v>0</v>
      </c>
    </row>
    <row r="25" spans="2:9" x14ac:dyDescent="0.2">
      <c r="B25" s="254"/>
      <c r="C25" s="268"/>
      <c r="D25" s="268"/>
      <c r="E25" s="268"/>
      <c r="F25" s="268"/>
      <c r="G25" s="268"/>
      <c r="H25" s="268"/>
      <c r="I25" s="269"/>
    </row>
    <row r="26" spans="2:9" x14ac:dyDescent="0.2">
      <c r="B26" s="259" t="s">
        <v>992</v>
      </c>
      <c r="C26" s="391">
        <f>+C27+C28+C29</f>
        <v>0</v>
      </c>
      <c r="D26" s="391">
        <f t="shared" ref="D26:I26" si="3">+D27+D28+D29</f>
        <v>0</v>
      </c>
      <c r="E26" s="391">
        <f t="shared" si="3"/>
        <v>0</v>
      </c>
      <c r="F26" s="391">
        <f t="shared" si="3"/>
        <v>0</v>
      </c>
      <c r="G26" s="391">
        <f t="shared" si="3"/>
        <v>0</v>
      </c>
      <c r="H26" s="391">
        <f t="shared" si="3"/>
        <v>0</v>
      </c>
      <c r="I26" s="392">
        <f t="shared" si="3"/>
        <v>0</v>
      </c>
    </row>
    <row r="27" spans="2:9" x14ac:dyDescent="0.2">
      <c r="B27" s="255" t="s">
        <v>981</v>
      </c>
      <c r="C27" s="267"/>
      <c r="D27" s="267"/>
      <c r="E27" s="267"/>
      <c r="F27" s="267"/>
      <c r="G27" s="268">
        <f>+C27+D27-E27+F27</f>
        <v>0</v>
      </c>
      <c r="H27" s="267"/>
      <c r="I27" s="299"/>
    </row>
    <row r="28" spans="2:9" x14ac:dyDescent="0.2">
      <c r="B28" s="255" t="s">
        <v>982</v>
      </c>
      <c r="C28" s="267"/>
      <c r="D28" s="267"/>
      <c r="E28" s="267"/>
      <c r="F28" s="267"/>
      <c r="G28" s="268">
        <f>+C28+D28-E28+F28</f>
        <v>0</v>
      </c>
      <c r="H28" s="267"/>
      <c r="I28" s="299"/>
    </row>
    <row r="29" spans="2:9" x14ac:dyDescent="0.2">
      <c r="B29" s="255" t="s">
        <v>983</v>
      </c>
      <c r="C29" s="267"/>
      <c r="D29" s="267"/>
      <c r="E29" s="267"/>
      <c r="F29" s="267"/>
      <c r="G29" s="268">
        <f>+C29+D29-E29+F29</f>
        <v>0</v>
      </c>
      <c r="H29" s="267"/>
      <c r="I29" s="299"/>
    </row>
    <row r="30" spans="2:9" x14ac:dyDescent="0.2">
      <c r="B30" s="255"/>
      <c r="C30" s="268"/>
      <c r="D30" s="268"/>
      <c r="E30" s="268"/>
      <c r="F30" s="268"/>
      <c r="G30" s="268"/>
      <c r="H30" s="268"/>
      <c r="I30" s="269"/>
    </row>
    <row r="31" spans="2:9" x14ac:dyDescent="0.2">
      <c r="B31" s="258" t="s">
        <v>984</v>
      </c>
      <c r="C31" s="391">
        <f>+C32+C33+C34</f>
        <v>0</v>
      </c>
      <c r="D31" s="391">
        <f t="shared" ref="D31:I31" si="4">+D32+D33+D34</f>
        <v>0</v>
      </c>
      <c r="E31" s="391">
        <f t="shared" si="4"/>
        <v>0</v>
      </c>
      <c r="F31" s="391">
        <f t="shared" si="4"/>
        <v>0</v>
      </c>
      <c r="G31" s="391">
        <f t="shared" si="4"/>
        <v>0</v>
      </c>
      <c r="H31" s="391">
        <f t="shared" si="4"/>
        <v>0</v>
      </c>
      <c r="I31" s="392">
        <f t="shared" si="4"/>
        <v>0</v>
      </c>
    </row>
    <row r="32" spans="2:9" x14ac:dyDescent="0.2">
      <c r="B32" s="255" t="s">
        <v>985</v>
      </c>
      <c r="C32" s="267"/>
      <c r="D32" s="267"/>
      <c r="E32" s="267"/>
      <c r="F32" s="267"/>
      <c r="G32" s="268">
        <f>+C32+D32-E32+F32</f>
        <v>0</v>
      </c>
      <c r="H32" s="267"/>
      <c r="I32" s="299"/>
    </row>
    <row r="33" spans="1:10" x14ac:dyDescent="0.2">
      <c r="B33" s="255" t="s">
        <v>986</v>
      </c>
      <c r="C33" s="267"/>
      <c r="D33" s="267"/>
      <c r="E33" s="267"/>
      <c r="F33" s="267"/>
      <c r="G33" s="268">
        <f>+C33+D33-E33+F33</f>
        <v>0</v>
      </c>
      <c r="H33" s="267"/>
      <c r="I33" s="299"/>
    </row>
    <row r="34" spans="1:10" x14ac:dyDescent="0.2">
      <c r="B34" s="255" t="s">
        <v>987</v>
      </c>
      <c r="C34" s="267"/>
      <c r="D34" s="267"/>
      <c r="E34" s="267"/>
      <c r="F34" s="267"/>
      <c r="G34" s="268">
        <f>+C34+D34-E34+F34</f>
        <v>0</v>
      </c>
      <c r="H34" s="267"/>
      <c r="I34" s="299"/>
    </row>
    <row r="35" spans="1:10" x14ac:dyDescent="0.2">
      <c r="A35" s="241"/>
      <c r="B35" s="255"/>
      <c r="C35" s="256"/>
      <c r="D35" s="256"/>
      <c r="E35" s="256"/>
      <c r="F35" s="256"/>
      <c r="G35" s="256"/>
      <c r="H35" s="256"/>
      <c r="I35" s="257"/>
      <c r="J35" s="241"/>
    </row>
    <row r="36" spans="1:10" x14ac:dyDescent="0.2">
      <c r="A36" s="241"/>
      <c r="B36" s="260"/>
      <c r="C36" s="261"/>
      <c r="D36" s="261"/>
      <c r="E36" s="261"/>
      <c r="F36" s="261"/>
      <c r="G36" s="261"/>
      <c r="H36" s="261"/>
      <c r="I36" s="262"/>
      <c r="J36" s="241"/>
    </row>
    <row r="37" spans="1:10" x14ac:dyDescent="0.2">
      <c r="A37" s="241"/>
      <c r="B37" s="531" t="s">
        <v>988</v>
      </c>
      <c r="C37" s="531"/>
      <c r="D37" s="531"/>
      <c r="E37" s="531"/>
      <c r="F37" s="531"/>
      <c r="G37" s="531"/>
      <c r="H37" s="531"/>
      <c r="I37" s="531"/>
      <c r="J37" s="241"/>
    </row>
    <row r="38" spans="1:10" x14ac:dyDescent="0.2">
      <c r="A38" s="241"/>
      <c r="B38" s="532" t="s">
        <v>1001</v>
      </c>
      <c r="C38" s="532"/>
      <c r="D38" s="532"/>
      <c r="E38" s="532"/>
      <c r="F38" s="532"/>
      <c r="G38" s="532"/>
      <c r="H38" s="532"/>
      <c r="I38" s="532"/>
      <c r="J38" s="241"/>
    </row>
    <row r="39" spans="1:10" x14ac:dyDescent="0.2">
      <c r="A39" s="241"/>
      <c r="B39" s="241"/>
      <c r="C39" s="241"/>
      <c r="D39" s="241"/>
      <c r="E39" s="241"/>
      <c r="F39" s="241"/>
      <c r="G39" s="241"/>
      <c r="H39" s="241"/>
      <c r="I39" s="241"/>
      <c r="J39" s="241"/>
    </row>
    <row r="40" spans="1:10" x14ac:dyDescent="0.2">
      <c r="A40" s="241"/>
      <c r="B40" s="241"/>
      <c r="C40" s="241"/>
      <c r="D40" s="241"/>
      <c r="E40" s="241"/>
      <c r="F40" s="241"/>
      <c r="G40" s="241"/>
      <c r="H40" s="241"/>
      <c r="I40" s="241"/>
      <c r="J40" s="241"/>
    </row>
    <row r="41" spans="1:10" ht="45" x14ac:dyDescent="0.2">
      <c r="A41" s="241"/>
      <c r="B41" s="241"/>
      <c r="C41" s="226" t="s">
        <v>999</v>
      </c>
      <c r="D41" s="227" t="s">
        <v>998</v>
      </c>
      <c r="E41" s="307" t="s">
        <v>1025</v>
      </c>
      <c r="F41" s="227" t="s">
        <v>1000</v>
      </c>
      <c r="G41" s="306" t="s">
        <v>1026</v>
      </c>
      <c r="H41" s="228" t="s">
        <v>1027</v>
      </c>
      <c r="I41" s="241"/>
      <c r="J41" s="241"/>
    </row>
    <row r="42" spans="1:10" x14ac:dyDescent="0.2">
      <c r="A42" s="241"/>
      <c r="B42" s="241"/>
      <c r="C42" s="230"/>
      <c r="D42" s="395"/>
      <c r="E42" s="395"/>
      <c r="F42" s="395"/>
      <c r="G42" s="395"/>
      <c r="H42" s="396"/>
      <c r="I42" s="241"/>
      <c r="J42" s="241"/>
    </row>
    <row r="43" spans="1:10" ht="22.5" x14ac:dyDescent="0.2">
      <c r="A43" s="241"/>
      <c r="B43" s="241"/>
      <c r="C43" s="229" t="s">
        <v>997</v>
      </c>
      <c r="D43" s="397">
        <f>+D46+D47+D48</f>
        <v>0</v>
      </c>
      <c r="E43" s="397">
        <f>+E46+E47+E48</f>
        <v>0</v>
      </c>
      <c r="F43" s="397">
        <f>+F46+F47+F48</f>
        <v>0</v>
      </c>
      <c r="G43" s="397">
        <f>+G46+G47+G48</f>
        <v>0</v>
      </c>
      <c r="H43" s="398">
        <f>+H46+H47+H48</f>
        <v>0</v>
      </c>
      <c r="I43" s="241"/>
      <c r="J43" s="241"/>
    </row>
    <row r="44" spans="1:10" x14ac:dyDescent="0.2">
      <c r="A44" s="241"/>
      <c r="B44" s="241"/>
      <c r="C44" s="229" t="s">
        <v>996</v>
      </c>
      <c r="D44" s="397"/>
      <c r="E44" s="397"/>
      <c r="F44" s="397"/>
      <c r="G44" s="397"/>
      <c r="H44" s="398"/>
      <c r="I44" s="241"/>
      <c r="J44" s="241"/>
    </row>
    <row r="45" spans="1:10" x14ac:dyDescent="0.2">
      <c r="A45" s="241"/>
      <c r="B45" s="241"/>
      <c r="C45" s="230"/>
      <c r="D45" s="399"/>
      <c r="E45" s="399"/>
      <c r="F45" s="399"/>
      <c r="G45" s="399"/>
      <c r="H45" s="400"/>
      <c r="I45" s="241"/>
      <c r="J45" s="241"/>
    </row>
    <row r="46" spans="1:10" x14ac:dyDescent="0.2">
      <c r="A46" s="241"/>
      <c r="B46" s="241"/>
      <c r="C46" s="230" t="s">
        <v>995</v>
      </c>
      <c r="D46" s="302"/>
      <c r="E46" s="302"/>
      <c r="F46" s="302"/>
      <c r="G46" s="302"/>
      <c r="H46" s="303"/>
      <c r="I46" s="241"/>
      <c r="J46" s="241"/>
    </row>
    <row r="47" spans="1:10" x14ac:dyDescent="0.2">
      <c r="A47" s="241"/>
      <c r="B47" s="241"/>
      <c r="C47" s="230" t="s">
        <v>994</v>
      </c>
      <c r="D47" s="302"/>
      <c r="E47" s="302"/>
      <c r="F47" s="302"/>
      <c r="G47" s="302"/>
      <c r="H47" s="303"/>
      <c r="I47" s="241"/>
      <c r="J47" s="241"/>
    </row>
    <row r="48" spans="1:10" x14ac:dyDescent="0.2">
      <c r="A48" s="241"/>
      <c r="B48" s="241"/>
      <c r="C48" s="231" t="s">
        <v>993</v>
      </c>
      <c r="D48" s="304"/>
      <c r="E48" s="304"/>
      <c r="F48" s="304"/>
      <c r="G48" s="304"/>
      <c r="H48" s="305"/>
      <c r="I48" s="241"/>
      <c r="J48" s="241"/>
    </row>
    <row r="49" spans="1:10" ht="12" customHeight="1" x14ac:dyDescent="0.2">
      <c r="A49" s="241"/>
      <c r="B49" s="533"/>
      <c r="C49" s="533"/>
      <c r="D49" s="533"/>
      <c r="E49" s="533"/>
      <c r="F49" s="533"/>
      <c r="G49" s="533"/>
      <c r="H49" s="533"/>
      <c r="I49" s="533"/>
      <c r="J49" s="241"/>
    </row>
    <row r="50" spans="1:10" x14ac:dyDescent="0.2">
      <c r="A50" s="241"/>
      <c r="B50" s="530"/>
      <c r="C50" s="530"/>
      <c r="D50" s="530"/>
      <c r="E50" s="530"/>
      <c r="F50" s="530"/>
      <c r="G50" s="530"/>
      <c r="H50" s="530"/>
      <c r="I50" s="530"/>
      <c r="J50" s="241"/>
    </row>
    <row r="51" spans="1:10" x14ac:dyDescent="0.2">
      <c r="A51" s="241"/>
      <c r="B51" s="530"/>
      <c r="C51" s="530"/>
      <c r="D51" s="530"/>
      <c r="E51" s="530"/>
      <c r="F51" s="530"/>
      <c r="G51" s="530"/>
      <c r="H51" s="530"/>
      <c r="I51" s="530"/>
      <c r="J51" s="241"/>
    </row>
    <row r="52" spans="1:10" x14ac:dyDescent="0.2">
      <c r="A52" s="241"/>
      <c r="B52" s="530"/>
      <c r="C52" s="530"/>
      <c r="D52" s="530"/>
      <c r="E52" s="530"/>
      <c r="F52" s="530"/>
      <c r="G52" s="530"/>
      <c r="H52" s="530"/>
      <c r="I52" s="530"/>
      <c r="J52" s="241"/>
    </row>
    <row r="53" spans="1:10" x14ac:dyDescent="0.2">
      <c r="A53" s="241"/>
      <c r="B53" s="530"/>
      <c r="C53" s="530"/>
      <c r="D53" s="530"/>
      <c r="E53" s="530"/>
      <c r="F53" s="530"/>
      <c r="G53" s="530"/>
      <c r="H53" s="530"/>
      <c r="I53" s="530"/>
      <c r="J53" s="241"/>
    </row>
    <row r="54" spans="1:10" x14ac:dyDescent="0.2">
      <c r="A54" s="241"/>
      <c r="B54" s="530"/>
      <c r="C54" s="530"/>
      <c r="D54" s="530"/>
      <c r="E54" s="530"/>
      <c r="F54" s="530"/>
      <c r="G54" s="530"/>
      <c r="H54" s="530"/>
      <c r="I54" s="530"/>
      <c r="J54" s="241"/>
    </row>
    <row r="55" spans="1:10" s="451" customFormat="1" x14ac:dyDescent="0.2">
      <c r="A55" s="241"/>
      <c r="B55" s="241"/>
      <c r="C55" s="241"/>
      <c r="D55" s="241"/>
      <c r="E55" s="241"/>
      <c r="F55" s="241"/>
      <c r="G55" s="241"/>
      <c r="H55" s="241"/>
      <c r="I55" s="241"/>
      <c r="J55" s="241"/>
    </row>
    <row r="56" spans="1:10" s="451" customFormat="1" x14ac:dyDescent="0.2">
      <c r="A56" s="241"/>
      <c r="B56" s="241"/>
      <c r="C56" s="276"/>
      <c r="D56" s="276"/>
      <c r="E56" s="276"/>
      <c r="F56" s="276"/>
      <c r="G56" s="276"/>
      <c r="H56" s="276"/>
      <c r="I56" s="276"/>
      <c r="J56" s="241"/>
    </row>
    <row r="57" spans="1:10" s="451" customFormat="1" x14ac:dyDescent="0.2">
      <c r="A57" s="241"/>
      <c r="B57" s="241"/>
      <c r="C57" s="529"/>
      <c r="D57" s="529"/>
      <c r="E57" s="529"/>
      <c r="F57" s="276"/>
      <c r="G57" s="529"/>
      <c r="H57" s="529"/>
      <c r="I57" s="529"/>
      <c r="J57" s="241"/>
    </row>
    <row r="58" spans="1:10" s="451" customFormat="1" x14ac:dyDescent="0.2">
      <c r="A58" s="241"/>
      <c r="B58" s="241"/>
      <c r="C58" s="529"/>
      <c r="D58" s="529"/>
      <c r="E58" s="529"/>
      <c r="F58" s="276"/>
      <c r="G58" s="529"/>
      <c r="H58" s="529"/>
      <c r="I58" s="529"/>
      <c r="J58" s="241"/>
    </row>
    <row r="59" spans="1:10" s="451" customFormat="1" x14ac:dyDescent="0.2">
      <c r="A59" s="241"/>
      <c r="B59" s="241"/>
      <c r="C59" s="241"/>
      <c r="D59" s="241"/>
      <c r="E59" s="241"/>
      <c r="F59" s="241"/>
      <c r="G59" s="241"/>
      <c r="H59" s="241"/>
      <c r="I59" s="241"/>
      <c r="J59" s="241"/>
    </row>
    <row r="60" spans="1:10" s="451" customFormat="1" x14ac:dyDescent="0.2">
      <c r="A60" s="241"/>
      <c r="J60" s="241"/>
    </row>
  </sheetData>
  <sheetProtection password="88C8" sheet="1" objects="1" scenarios="1" selectLockedCells="1"/>
  <mergeCells count="13">
    <mergeCell ref="C57:E57"/>
    <mergeCell ref="C58:E58"/>
    <mergeCell ref="G58:I58"/>
    <mergeCell ref="G57:I57"/>
    <mergeCell ref="B2:I2"/>
    <mergeCell ref="B3:I3"/>
    <mergeCell ref="B4:I4"/>
    <mergeCell ref="B5:I5"/>
    <mergeCell ref="B50:I54"/>
    <mergeCell ref="B37:I37"/>
    <mergeCell ref="B38:I38"/>
    <mergeCell ref="C7:H7"/>
    <mergeCell ref="B49:I49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scale="77" orientation="landscape" r:id="rId1"/>
  <headerFooter>
    <oddFooter>&amp;C&amp;A&amp;RPágina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B1:M47"/>
  <sheetViews>
    <sheetView view="pageBreakPreview" zoomScale="90" zoomScaleNormal="80" zoomScaleSheetLayoutView="90" workbookViewId="0">
      <selection activeCell="B12" sqref="B12"/>
    </sheetView>
  </sheetViews>
  <sheetFormatPr baseColWidth="10" defaultRowHeight="12" x14ac:dyDescent="0.2"/>
  <cols>
    <col min="1" max="1" width="2.140625" style="232" customWidth="1"/>
    <col min="2" max="2" width="40" style="232" customWidth="1"/>
    <col min="3" max="3" width="14.42578125" style="232" customWidth="1"/>
    <col min="4" max="4" width="15.5703125" style="232" customWidth="1"/>
    <col min="5" max="5" width="11.85546875" style="232" bestFit="1" customWidth="1"/>
    <col min="6" max="6" width="12.42578125" style="232" customWidth="1"/>
    <col min="7" max="7" width="10.140625" style="232" customWidth="1"/>
    <col min="8" max="8" width="17" style="232" customWidth="1"/>
    <col min="9" max="9" width="22.42578125" style="232" customWidth="1"/>
    <col min="10" max="10" width="17.140625" style="232" customWidth="1"/>
    <col min="11" max="11" width="17" style="232" customWidth="1"/>
    <col min="12" max="12" width="16.85546875" style="232" customWidth="1"/>
    <col min="13" max="13" width="2.28515625" style="241" customWidth="1"/>
    <col min="14" max="16384" width="11.42578125" style="232"/>
  </cols>
  <sheetData>
    <row r="1" spans="2:13" x14ac:dyDescent="0.2"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</row>
    <row r="2" spans="2:13" hidden="1" x14ac:dyDescent="0.2"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</row>
    <row r="3" spans="2:13" x14ac:dyDescent="0.2">
      <c r="B3" s="534" t="s">
        <v>1020</v>
      </c>
      <c r="C3" s="534"/>
      <c r="D3" s="534"/>
      <c r="E3" s="534"/>
      <c r="F3" s="534"/>
      <c r="G3" s="534"/>
      <c r="H3" s="534"/>
      <c r="I3" s="534"/>
      <c r="J3" s="534"/>
      <c r="K3" s="534"/>
      <c r="L3" s="534"/>
    </row>
    <row r="4" spans="2:13" x14ac:dyDescent="0.2">
      <c r="B4" s="529" t="str">
        <f>"Del 1 de enero al "&amp;TEXT(INDEX(Periodos,ENTE!D18,1),"dd")&amp;" de "&amp;TEXT(INDEX(Periodos,ENTE!D18,1),"mmmm")&amp;" de "&amp;TEXT(INDEX(Periodos,ENTE!D18,1),"aaaa")&amp;""</f>
        <v>Del 1 de enero al 31 de diciembre de 2018</v>
      </c>
      <c r="C4" s="529"/>
      <c r="D4" s="529"/>
      <c r="E4" s="529"/>
      <c r="F4" s="529"/>
      <c r="G4" s="529"/>
      <c r="H4" s="529"/>
      <c r="I4" s="529"/>
      <c r="J4" s="529"/>
      <c r="K4" s="529"/>
      <c r="L4" s="529"/>
    </row>
    <row r="5" spans="2:13" x14ac:dyDescent="0.2">
      <c r="B5" s="529" t="s">
        <v>624</v>
      </c>
      <c r="C5" s="529"/>
      <c r="D5" s="529"/>
      <c r="E5" s="529"/>
      <c r="F5" s="529"/>
      <c r="G5" s="529"/>
      <c r="H5" s="529"/>
      <c r="I5" s="529"/>
      <c r="J5" s="529"/>
      <c r="K5" s="529"/>
      <c r="L5" s="529"/>
    </row>
    <row r="6" spans="2:13" x14ac:dyDescent="0.2"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</row>
    <row r="7" spans="2:13" x14ac:dyDescent="0.2">
      <c r="B7" s="234" t="s">
        <v>6</v>
      </c>
      <c r="C7" s="485" t="str">
        <f>+ENTE!D8</f>
        <v>UNIDAD DE SERVICIOS PARA LA EDUCACIÓN BÁSICA EN EL ESTADO DE QUERÉTARO</v>
      </c>
      <c r="D7" s="485"/>
      <c r="E7" s="485"/>
      <c r="F7" s="485"/>
      <c r="G7" s="485"/>
      <c r="H7" s="485"/>
      <c r="I7" s="485"/>
      <c r="J7" s="485"/>
      <c r="K7" s="101"/>
      <c r="L7" s="248"/>
    </row>
    <row r="8" spans="2:13" x14ac:dyDescent="0.2"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</row>
    <row r="9" spans="2:13" s="264" customFormat="1" ht="70.5" customHeight="1" x14ac:dyDescent="0.2">
      <c r="B9" s="253" t="s">
        <v>1002</v>
      </c>
      <c r="C9" s="245" t="s">
        <v>1003</v>
      </c>
      <c r="D9" s="246" t="s">
        <v>1004</v>
      </c>
      <c r="E9" s="245" t="s">
        <v>1005</v>
      </c>
      <c r="F9" s="245" t="s">
        <v>1006</v>
      </c>
      <c r="G9" s="245" t="s">
        <v>1007</v>
      </c>
      <c r="H9" s="245" t="s">
        <v>1008</v>
      </c>
      <c r="I9" s="245" t="s">
        <v>1009</v>
      </c>
      <c r="J9" s="245" t="str">
        <f>"Monto pagado de la inversión al "&amp;TEXT(INDEX(Periodos,ENTE!D18,1),"dd")&amp;" de "&amp;TEXT(INDEX(Periodos,ENTE!D18,1),"mmmm")&amp;" de "&amp;TEXT(INDEX(Periodos,ENTE!D18,1),"aaaa")&amp;" (k) "&amp;""</f>
        <v xml:space="preserve">Monto pagado de la inversión al 31 de diciembre de 2018 (k) </v>
      </c>
      <c r="K9" s="245" t="str">
        <f>"Monto pagado de la inversión actualizado al "&amp;TEXT(INDEX(Periodos,ENTE!D18,1),"dd")&amp;" de "&amp;TEXT(INDEX(Periodos,ENTE!D18,1),"mmmm")&amp;" de "&amp;TEXT(INDEX(Periodos,ENTE!D18,1),"aaaa")&amp;" (l) "&amp;""</f>
        <v xml:space="preserve">Monto pagado de la inversión actualizado al 31 de diciembre de 2018 (l) </v>
      </c>
      <c r="L9" s="252" t="str">
        <f>"Saldo pendiente por pagar de la inverión al "&amp;TEXT(INDEX(Periodos,ENTE!D18,1),"dd")&amp;" de "&amp;TEXT(INDEX(Periodos,ENTE!D18,1),"mmmm")&amp;" de "&amp;TEXT(INDEX(Periodos,ENTE!D18,1),"aaaa")&amp;" (m=g-l) "&amp;""</f>
        <v xml:space="preserve">Saldo pendiente por pagar de la inverión al 31 de diciembre de 2018 (m=g-l) </v>
      </c>
      <c r="M9" s="265"/>
    </row>
    <row r="10" spans="2:13" x14ac:dyDescent="0.2">
      <c r="B10" s="250"/>
      <c r="C10" s="241"/>
      <c r="D10" s="241"/>
      <c r="E10" s="241"/>
      <c r="F10" s="241"/>
      <c r="G10" s="241"/>
      <c r="H10" s="241"/>
      <c r="I10" s="241"/>
      <c r="J10" s="241"/>
      <c r="K10" s="241"/>
      <c r="L10" s="242"/>
    </row>
    <row r="11" spans="2:13" x14ac:dyDescent="0.2">
      <c r="B11" s="244" t="s">
        <v>1028</v>
      </c>
      <c r="C11" s="401">
        <f t="shared" ref="C11:K11" si="0">+SUM(C12:C15)</f>
        <v>0</v>
      </c>
      <c r="D11" s="401">
        <f t="shared" si="0"/>
        <v>0</v>
      </c>
      <c r="E11" s="401">
        <f t="shared" si="0"/>
        <v>0</v>
      </c>
      <c r="F11" s="401">
        <f t="shared" si="0"/>
        <v>0</v>
      </c>
      <c r="G11" s="401">
        <f t="shared" si="0"/>
        <v>0</v>
      </c>
      <c r="H11" s="401">
        <f t="shared" si="0"/>
        <v>0</v>
      </c>
      <c r="I11" s="401">
        <f t="shared" si="0"/>
        <v>0</v>
      </c>
      <c r="J11" s="401">
        <f t="shared" si="0"/>
        <v>0</v>
      </c>
      <c r="K11" s="401">
        <f t="shared" si="0"/>
        <v>0</v>
      </c>
      <c r="L11" s="402">
        <f>+F11-K11</f>
        <v>0</v>
      </c>
    </row>
    <row r="12" spans="2:13" x14ac:dyDescent="0.2">
      <c r="B12" s="411" t="s">
        <v>1010</v>
      </c>
      <c r="C12" s="308"/>
      <c r="D12" s="308"/>
      <c r="E12" s="308"/>
      <c r="F12" s="308"/>
      <c r="G12" s="308"/>
      <c r="H12" s="308"/>
      <c r="I12" s="308"/>
      <c r="J12" s="308"/>
      <c r="K12" s="308"/>
      <c r="L12" s="402">
        <f>+F12-K12</f>
        <v>0</v>
      </c>
    </row>
    <row r="13" spans="2:13" x14ac:dyDescent="0.2">
      <c r="B13" s="411" t="s">
        <v>1011</v>
      </c>
      <c r="C13" s="308"/>
      <c r="D13" s="308"/>
      <c r="E13" s="308"/>
      <c r="F13" s="308"/>
      <c r="G13" s="308"/>
      <c r="H13" s="308"/>
      <c r="I13" s="308"/>
      <c r="J13" s="308"/>
      <c r="K13" s="308"/>
      <c r="L13" s="402">
        <f>+F13-K13</f>
        <v>0</v>
      </c>
    </row>
    <row r="14" spans="2:13" x14ac:dyDescent="0.2">
      <c r="B14" s="411" t="s">
        <v>1012</v>
      </c>
      <c r="C14" s="308"/>
      <c r="D14" s="308"/>
      <c r="E14" s="308"/>
      <c r="F14" s="308"/>
      <c r="G14" s="308"/>
      <c r="H14" s="308"/>
      <c r="I14" s="308"/>
      <c r="J14" s="308"/>
      <c r="K14" s="308"/>
      <c r="L14" s="402">
        <f>+F14-K14</f>
        <v>0</v>
      </c>
    </row>
    <row r="15" spans="2:13" x14ac:dyDescent="0.2">
      <c r="B15" s="411" t="s">
        <v>1013</v>
      </c>
      <c r="C15" s="308"/>
      <c r="D15" s="308"/>
      <c r="E15" s="308"/>
      <c r="F15" s="308"/>
      <c r="G15" s="308"/>
      <c r="H15" s="308"/>
      <c r="I15" s="308"/>
      <c r="J15" s="308"/>
      <c r="K15" s="308"/>
      <c r="L15" s="402">
        <f>+F15-K15</f>
        <v>0</v>
      </c>
    </row>
    <row r="16" spans="2:13" x14ac:dyDescent="0.2">
      <c r="B16" s="250"/>
      <c r="C16" s="404"/>
      <c r="D16" s="404"/>
      <c r="E16" s="404"/>
      <c r="F16" s="404"/>
      <c r="G16" s="404"/>
      <c r="H16" s="404"/>
      <c r="I16" s="404"/>
      <c r="J16" s="404"/>
      <c r="K16" s="404"/>
      <c r="L16" s="403"/>
    </row>
    <row r="17" spans="2:12" x14ac:dyDescent="0.2">
      <c r="B17" s="244" t="s">
        <v>1014</v>
      </c>
      <c r="C17" s="401">
        <f>+C18+C19+C20+C21</f>
        <v>0</v>
      </c>
      <c r="D17" s="401">
        <f t="shared" ref="D17:K17" si="1">+D18+D19+D20+D21</f>
        <v>0</v>
      </c>
      <c r="E17" s="401">
        <f t="shared" si="1"/>
        <v>0</v>
      </c>
      <c r="F17" s="401">
        <f t="shared" si="1"/>
        <v>0</v>
      </c>
      <c r="G17" s="401">
        <f t="shared" si="1"/>
        <v>0</v>
      </c>
      <c r="H17" s="401">
        <f t="shared" si="1"/>
        <v>0</v>
      </c>
      <c r="I17" s="401">
        <f t="shared" si="1"/>
        <v>0</v>
      </c>
      <c r="J17" s="401">
        <f t="shared" si="1"/>
        <v>0</v>
      </c>
      <c r="K17" s="401">
        <f t="shared" si="1"/>
        <v>0</v>
      </c>
      <c r="L17" s="402">
        <f>+F17-K17</f>
        <v>0</v>
      </c>
    </row>
    <row r="18" spans="2:12" x14ac:dyDescent="0.2">
      <c r="B18" s="411" t="s">
        <v>1015</v>
      </c>
      <c r="C18" s="308"/>
      <c r="D18" s="308"/>
      <c r="E18" s="308"/>
      <c r="F18" s="308"/>
      <c r="G18" s="308"/>
      <c r="H18" s="308"/>
      <c r="I18" s="308"/>
      <c r="J18" s="308"/>
      <c r="K18" s="308"/>
      <c r="L18" s="402">
        <f>+F18-K18</f>
        <v>0</v>
      </c>
    </row>
    <row r="19" spans="2:12" x14ac:dyDescent="0.2">
      <c r="B19" s="411" t="s">
        <v>1016</v>
      </c>
      <c r="C19" s="308"/>
      <c r="D19" s="308"/>
      <c r="E19" s="308"/>
      <c r="F19" s="308"/>
      <c r="G19" s="308"/>
      <c r="H19" s="308"/>
      <c r="I19" s="308"/>
      <c r="J19" s="308"/>
      <c r="K19" s="308"/>
      <c r="L19" s="402">
        <f>+F19-K19</f>
        <v>0</v>
      </c>
    </row>
    <row r="20" spans="2:12" x14ac:dyDescent="0.2">
      <c r="B20" s="411" t="s">
        <v>1017</v>
      </c>
      <c r="C20" s="308"/>
      <c r="D20" s="308"/>
      <c r="E20" s="308"/>
      <c r="F20" s="308"/>
      <c r="G20" s="308"/>
      <c r="H20" s="308"/>
      <c r="I20" s="308"/>
      <c r="J20" s="308"/>
      <c r="K20" s="308"/>
      <c r="L20" s="402">
        <f>+F20-K20</f>
        <v>0</v>
      </c>
    </row>
    <row r="21" spans="2:12" x14ac:dyDescent="0.2">
      <c r="B21" s="411" t="s">
        <v>1018</v>
      </c>
      <c r="C21" s="308"/>
      <c r="D21" s="308"/>
      <c r="E21" s="308"/>
      <c r="F21" s="308"/>
      <c r="G21" s="308"/>
      <c r="H21" s="308"/>
      <c r="I21" s="308"/>
      <c r="J21" s="308"/>
      <c r="K21" s="308"/>
      <c r="L21" s="402">
        <f>+F21-K21</f>
        <v>0</v>
      </c>
    </row>
    <row r="22" spans="2:12" x14ac:dyDescent="0.2">
      <c r="B22" s="250"/>
      <c r="C22" s="404"/>
      <c r="D22" s="404"/>
      <c r="E22" s="404"/>
      <c r="F22" s="404"/>
      <c r="G22" s="404"/>
      <c r="H22" s="404"/>
      <c r="I22" s="404"/>
      <c r="J22" s="404"/>
      <c r="K22" s="404"/>
      <c r="L22" s="403"/>
    </row>
    <row r="23" spans="2:12" ht="24" x14ac:dyDescent="0.2">
      <c r="B23" s="244" t="s">
        <v>1019</v>
      </c>
      <c r="C23" s="401">
        <f>+C11+C17</f>
        <v>0</v>
      </c>
      <c r="D23" s="401">
        <f t="shared" ref="D23:K23" si="2">+D11+D17</f>
        <v>0</v>
      </c>
      <c r="E23" s="401">
        <f t="shared" si="2"/>
        <v>0</v>
      </c>
      <c r="F23" s="401">
        <f t="shared" si="2"/>
        <v>0</v>
      </c>
      <c r="G23" s="401">
        <f t="shared" si="2"/>
        <v>0</v>
      </c>
      <c r="H23" s="401">
        <f t="shared" si="2"/>
        <v>0</v>
      </c>
      <c r="I23" s="401">
        <f t="shared" si="2"/>
        <v>0</v>
      </c>
      <c r="J23" s="401">
        <f t="shared" si="2"/>
        <v>0</v>
      </c>
      <c r="K23" s="401">
        <f t="shared" si="2"/>
        <v>0</v>
      </c>
      <c r="L23" s="402">
        <f>+F23-K23</f>
        <v>0</v>
      </c>
    </row>
    <row r="24" spans="2:12" x14ac:dyDescent="0.2">
      <c r="B24" s="250"/>
      <c r="C24" s="404"/>
      <c r="D24" s="404"/>
      <c r="E24" s="404"/>
      <c r="F24" s="404"/>
      <c r="G24" s="404"/>
      <c r="H24" s="404"/>
      <c r="I24" s="404"/>
      <c r="J24" s="404"/>
      <c r="K24" s="404"/>
      <c r="L24" s="403"/>
    </row>
    <row r="25" spans="2:12" x14ac:dyDescent="0.2">
      <c r="B25" s="251"/>
      <c r="C25" s="405"/>
      <c r="D25" s="405"/>
      <c r="E25" s="405"/>
      <c r="F25" s="405"/>
      <c r="G25" s="405"/>
      <c r="H25" s="405"/>
      <c r="I25" s="405"/>
      <c r="J25" s="405"/>
      <c r="K25" s="405"/>
      <c r="L25" s="406"/>
    </row>
    <row r="26" spans="2:12" x14ac:dyDescent="0.2">
      <c r="B26" s="464"/>
      <c r="C26" s="464"/>
      <c r="D26" s="464"/>
      <c r="E26" s="464"/>
      <c r="F26" s="464"/>
      <c r="G26" s="241"/>
      <c r="H26" s="241"/>
      <c r="I26" s="241"/>
      <c r="J26" s="263"/>
      <c r="K26" s="263"/>
      <c r="L26" s="263"/>
    </row>
    <row r="27" spans="2:12" x14ac:dyDescent="0.2">
      <c r="B27" s="530"/>
      <c r="C27" s="530"/>
      <c r="D27" s="530"/>
      <c r="E27" s="530"/>
      <c r="F27" s="530"/>
      <c r="G27" s="530"/>
      <c r="H27" s="530"/>
      <c r="I27" s="530"/>
      <c r="J27" s="263"/>
      <c r="K27" s="263"/>
      <c r="L27" s="263"/>
    </row>
    <row r="28" spans="2:12" x14ac:dyDescent="0.2">
      <c r="B28" s="530"/>
      <c r="C28" s="530"/>
      <c r="D28" s="530"/>
      <c r="E28" s="530"/>
      <c r="F28" s="530"/>
      <c r="G28" s="530"/>
      <c r="H28" s="530"/>
      <c r="I28" s="530"/>
      <c r="J28" s="263"/>
      <c r="K28" s="263"/>
      <c r="L28" s="263"/>
    </row>
    <row r="29" spans="2:12" x14ac:dyDescent="0.2">
      <c r="B29" s="530"/>
      <c r="C29" s="530"/>
      <c r="D29" s="530"/>
      <c r="E29" s="530"/>
      <c r="F29" s="530"/>
      <c r="G29" s="530"/>
      <c r="H29" s="530"/>
      <c r="I29" s="530"/>
      <c r="J29" s="263"/>
      <c r="K29" s="263"/>
      <c r="L29" s="263"/>
    </row>
    <row r="30" spans="2:12" x14ac:dyDescent="0.2">
      <c r="B30" s="530"/>
      <c r="C30" s="530"/>
      <c r="D30" s="530"/>
      <c r="E30" s="530"/>
      <c r="F30" s="530"/>
      <c r="G30" s="530"/>
      <c r="H30" s="530"/>
      <c r="I30" s="530"/>
      <c r="J30" s="263"/>
      <c r="K30" s="263"/>
      <c r="L30" s="263"/>
    </row>
    <row r="31" spans="2:12" x14ac:dyDescent="0.2">
      <c r="B31" s="530"/>
      <c r="C31" s="530"/>
      <c r="D31" s="530"/>
      <c r="E31" s="530"/>
      <c r="F31" s="530"/>
      <c r="G31" s="530"/>
      <c r="H31" s="530"/>
      <c r="I31" s="530"/>
      <c r="J31" s="263"/>
      <c r="K31" s="263"/>
      <c r="L31" s="263"/>
    </row>
    <row r="32" spans="2:12" x14ac:dyDescent="0.2">
      <c r="B32" s="530"/>
      <c r="C32" s="530"/>
      <c r="D32" s="530"/>
      <c r="E32" s="530"/>
      <c r="F32" s="530"/>
      <c r="G32" s="530"/>
      <c r="H32" s="530"/>
      <c r="I32" s="530"/>
      <c r="J32" s="263"/>
      <c r="K32" s="263"/>
      <c r="L32" s="263"/>
    </row>
    <row r="33" spans="2:12" x14ac:dyDescent="0.2">
      <c r="B33" s="530"/>
      <c r="C33" s="530"/>
      <c r="D33" s="530"/>
      <c r="E33" s="530"/>
      <c r="F33" s="530"/>
      <c r="G33" s="530"/>
      <c r="H33" s="530"/>
      <c r="I33" s="530"/>
      <c r="J33" s="263"/>
      <c r="K33" s="263"/>
      <c r="L33" s="263"/>
    </row>
    <row r="34" spans="2:12" s="241" customFormat="1" x14ac:dyDescent="0.2">
      <c r="B34" s="530"/>
      <c r="C34" s="530"/>
      <c r="D34" s="530"/>
      <c r="E34" s="530"/>
      <c r="F34" s="530"/>
      <c r="G34" s="530"/>
      <c r="H34" s="530"/>
      <c r="I34" s="530"/>
      <c r="J34" s="263"/>
      <c r="K34" s="263"/>
      <c r="L34" s="263"/>
    </row>
    <row r="35" spans="2:12" s="241" customFormat="1" x14ac:dyDescent="0.2">
      <c r="C35" s="276"/>
      <c r="D35" s="276"/>
      <c r="E35" s="276"/>
      <c r="F35" s="276"/>
      <c r="G35" s="276"/>
      <c r="H35" s="276"/>
      <c r="I35" s="276"/>
      <c r="J35" s="277"/>
      <c r="K35" s="263"/>
      <c r="L35" s="263"/>
    </row>
    <row r="36" spans="2:12" s="241" customFormat="1" x14ac:dyDescent="0.2">
      <c r="C36" s="276"/>
      <c r="D36" s="276"/>
      <c r="E36" s="276"/>
      <c r="F36" s="276"/>
      <c r="G36" s="276"/>
      <c r="H36" s="276"/>
      <c r="I36" s="276"/>
      <c r="J36" s="277"/>
      <c r="K36" s="263"/>
      <c r="L36" s="263"/>
    </row>
    <row r="37" spans="2:12" s="241" customFormat="1" x14ac:dyDescent="0.2">
      <c r="C37" s="529"/>
      <c r="D37" s="529"/>
      <c r="E37" s="529"/>
      <c r="F37" s="276"/>
      <c r="G37" s="278"/>
      <c r="H37" s="278"/>
      <c r="I37" s="529"/>
      <c r="J37" s="529"/>
      <c r="K37" s="263"/>
      <c r="L37" s="263"/>
    </row>
    <row r="38" spans="2:12" s="241" customFormat="1" x14ac:dyDescent="0.2">
      <c r="C38" s="529"/>
      <c r="D38" s="529"/>
      <c r="E38" s="529"/>
      <c r="F38" s="276"/>
      <c r="G38" s="278"/>
      <c r="H38" s="278"/>
      <c r="I38" s="529"/>
      <c r="J38" s="529"/>
      <c r="K38" s="263"/>
      <c r="L38" s="263"/>
    </row>
    <row r="39" spans="2:12" s="241" customFormat="1" x14ac:dyDescent="0.2">
      <c r="C39" s="276"/>
      <c r="D39" s="276"/>
      <c r="E39" s="276"/>
      <c r="F39" s="276"/>
      <c r="G39" s="276"/>
      <c r="H39" s="276"/>
      <c r="I39" s="276"/>
      <c r="J39" s="276"/>
    </row>
    <row r="40" spans="2:12" s="241" customFormat="1" x14ac:dyDescent="0.2"/>
    <row r="41" spans="2:12" s="241" customFormat="1" x14ac:dyDescent="0.2"/>
    <row r="42" spans="2:12" s="241" customFormat="1" x14ac:dyDescent="0.2"/>
    <row r="43" spans="2:12" s="241" customFormat="1" x14ac:dyDescent="0.2"/>
    <row r="44" spans="2:12" s="241" customFormat="1" x14ac:dyDescent="0.2"/>
    <row r="45" spans="2:12" s="241" customFormat="1" x14ac:dyDescent="0.2"/>
    <row r="46" spans="2:12" s="241" customFormat="1" x14ac:dyDescent="0.2"/>
    <row r="47" spans="2:12" s="241" customFormat="1" x14ac:dyDescent="0.2"/>
  </sheetData>
  <sheetProtection password="88C8" sheet="1" objects="1" scenarios="1" selectLockedCells="1"/>
  <mergeCells count="11">
    <mergeCell ref="C37:E37"/>
    <mergeCell ref="C38:E38"/>
    <mergeCell ref="I37:J37"/>
    <mergeCell ref="I38:J38"/>
    <mergeCell ref="B2:L2"/>
    <mergeCell ref="B3:L3"/>
    <mergeCell ref="B4:L4"/>
    <mergeCell ref="B5:L5"/>
    <mergeCell ref="B26:F26"/>
    <mergeCell ref="B27:I34"/>
    <mergeCell ref="C7:J7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scale="67" orientation="landscape" r:id="rId1"/>
  <headerFooter>
    <oddFooter>&amp;C&amp;A&amp;R
Página &amp;P</oddFooter>
  </headerFooter>
  <ignoredErrors>
    <ignoredError sqref="C11:K11 C14:D14 D13 C22:K22 D18:K20 C16:K17 C15:D15 F15:K15 C12:D12 F12:K12 F14 D21 F21:K21 L13:L23 D23:K23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E2:I29"/>
  <sheetViews>
    <sheetView tabSelected="1" workbookViewId="0">
      <selection activeCell="F2" sqref="F2:I2"/>
    </sheetView>
  </sheetViews>
  <sheetFormatPr baseColWidth="10" defaultRowHeight="15" x14ac:dyDescent="0.25"/>
  <cols>
    <col min="1" max="3" width="11.42578125" style="419"/>
    <col min="4" max="4" width="6.42578125" style="419" customWidth="1"/>
    <col min="5" max="5" width="11.42578125" style="419"/>
    <col min="6" max="6" width="30" style="423" customWidth="1"/>
    <col min="7" max="7" width="15" style="423" customWidth="1"/>
    <col min="8" max="8" width="11.42578125" style="419"/>
    <col min="9" max="9" width="32.85546875" style="423" bestFit="1" customWidth="1"/>
    <col min="10" max="16384" width="11.42578125" style="419"/>
  </cols>
  <sheetData>
    <row r="2" spans="5:9" x14ac:dyDescent="0.25">
      <c r="F2" s="535" t="s">
        <v>1046</v>
      </c>
      <c r="G2" s="535"/>
      <c r="H2" s="535"/>
      <c r="I2" s="535"/>
    </row>
    <row r="4" spans="5:9" x14ac:dyDescent="0.25">
      <c r="F4" s="420" t="s">
        <v>1041</v>
      </c>
      <c r="G4" s="441"/>
      <c r="I4" s="420" t="s">
        <v>961</v>
      </c>
    </row>
    <row r="5" spans="5:9" x14ac:dyDescent="0.25">
      <c r="E5" s="419" t="s">
        <v>1057</v>
      </c>
      <c r="F5" s="421">
        <f>+EA!J54</f>
        <v>-42133210.119999886</v>
      </c>
      <c r="G5" s="421"/>
      <c r="H5" s="419" t="s">
        <v>1063</v>
      </c>
      <c r="I5" s="421">
        <f>+EAA!H14</f>
        <v>858520300.70999992</v>
      </c>
    </row>
    <row r="6" spans="5:9" x14ac:dyDescent="0.25">
      <c r="E6" s="419" t="s">
        <v>1058</v>
      </c>
      <c r="F6" s="421">
        <f>+ESF!J51</f>
        <v>-42133210.119999886</v>
      </c>
      <c r="G6" s="421"/>
      <c r="H6" s="419" t="s">
        <v>1058</v>
      </c>
      <c r="I6" s="421">
        <f>+ESF!E42</f>
        <v>858520300.70999992</v>
      </c>
    </row>
    <row r="7" spans="5:9" x14ac:dyDescent="0.25">
      <c r="F7" s="422" t="str">
        <f>+IF(F5=F6,"OK","ERROR")</f>
        <v>OK</v>
      </c>
      <c r="G7" s="442"/>
      <c r="I7" s="422" t="str">
        <f>+IF(I5=I6,"OK","ERROR")</f>
        <v>OK</v>
      </c>
    </row>
    <row r="8" spans="5:9" x14ac:dyDescent="0.25">
      <c r="F8" s="421"/>
      <c r="G8" s="421"/>
      <c r="I8" s="421"/>
    </row>
    <row r="9" spans="5:9" x14ac:dyDescent="0.25">
      <c r="F9" s="420" t="s">
        <v>1042</v>
      </c>
      <c r="G9" s="441"/>
      <c r="I9" s="420" t="s">
        <v>1045</v>
      </c>
    </row>
    <row r="10" spans="5:9" x14ac:dyDescent="0.25">
      <c r="E10" s="419" t="s">
        <v>1058</v>
      </c>
      <c r="F10" s="421">
        <f>+ESF!J62</f>
        <v>854997280.72000003</v>
      </c>
      <c r="G10" s="421"/>
      <c r="H10" s="419" t="s">
        <v>1064</v>
      </c>
      <c r="I10" s="421">
        <f>+EADP!J44</f>
        <v>3523019.99</v>
      </c>
    </row>
    <row r="11" spans="5:9" x14ac:dyDescent="0.25">
      <c r="E11" s="419" t="s">
        <v>1059</v>
      </c>
      <c r="F11" s="421">
        <f>+EVHP!I47</f>
        <v>854997280.72000003</v>
      </c>
      <c r="G11" s="421"/>
      <c r="H11" s="419" t="s">
        <v>1058</v>
      </c>
      <c r="I11" s="421">
        <f>+ESF!J39</f>
        <v>3523019.99</v>
      </c>
    </row>
    <row r="12" spans="5:9" x14ac:dyDescent="0.25">
      <c r="F12" s="422" t="str">
        <f>+IF(F10=F11,"OK","ERROR")</f>
        <v>OK</v>
      </c>
      <c r="G12" s="442"/>
      <c r="H12" s="419" t="s">
        <v>1065</v>
      </c>
      <c r="I12" s="421">
        <f>+IADOP!G24</f>
        <v>3523019.9899997711</v>
      </c>
    </row>
    <row r="13" spans="5:9" x14ac:dyDescent="0.25">
      <c r="F13" s="421"/>
      <c r="G13" s="421"/>
      <c r="I13" s="422" t="str">
        <f>+IF(I10=I11,IF(I11=I12,"OK","FALSO"))</f>
        <v>FALSO</v>
      </c>
    </row>
    <row r="14" spans="5:9" x14ac:dyDescent="0.25">
      <c r="F14" s="420" t="s">
        <v>1043</v>
      </c>
      <c r="G14" s="441"/>
      <c r="I14" s="421"/>
    </row>
    <row r="15" spans="5:9" x14ac:dyDescent="0.25">
      <c r="E15" s="419" t="s">
        <v>1058</v>
      </c>
      <c r="F15" s="421">
        <f>+ESF!E17</f>
        <v>8457282.0199999996</v>
      </c>
      <c r="G15" s="421"/>
      <c r="I15" s="420" t="s">
        <v>1067</v>
      </c>
    </row>
    <row r="16" spans="5:9" x14ac:dyDescent="0.25">
      <c r="E16" s="419" t="s">
        <v>1060</v>
      </c>
      <c r="F16" s="421">
        <f>+EFE!Q49</f>
        <v>8457282.0199999996</v>
      </c>
      <c r="G16" s="421"/>
      <c r="H16" s="419" t="s">
        <v>1058</v>
      </c>
      <c r="I16" s="421">
        <f>+ESF!E42</f>
        <v>858520300.70999992</v>
      </c>
    </row>
    <row r="17" spans="5:9" x14ac:dyDescent="0.25">
      <c r="F17" s="422" t="str">
        <f>+IF(F15=F16,"OK","ERROR")</f>
        <v>OK</v>
      </c>
      <c r="G17" s="442"/>
      <c r="H17" s="419" t="s">
        <v>1058</v>
      </c>
      <c r="I17" s="421">
        <f>+ESF!J64</f>
        <v>858520300.71000004</v>
      </c>
    </row>
    <row r="18" spans="5:9" x14ac:dyDescent="0.25">
      <c r="F18" s="421"/>
      <c r="G18" s="421"/>
      <c r="H18" s="419" t="s">
        <v>1066</v>
      </c>
      <c r="I18" s="421">
        <f>+ESFD!C83</f>
        <v>858520300.70999992</v>
      </c>
    </row>
    <row r="19" spans="5:9" x14ac:dyDescent="0.25">
      <c r="F19" s="420" t="s">
        <v>1044</v>
      </c>
      <c r="G19" s="441"/>
      <c r="H19" s="419" t="s">
        <v>1066</v>
      </c>
      <c r="I19" s="421">
        <f>+ESFD!G105</f>
        <v>858520300.71000004</v>
      </c>
    </row>
    <row r="20" spans="5:9" x14ac:dyDescent="0.25">
      <c r="E20" s="419" t="s">
        <v>1061</v>
      </c>
      <c r="F20" s="421">
        <f>+IPC!G25</f>
        <v>0</v>
      </c>
      <c r="G20" s="421"/>
      <c r="I20" s="422" t="str">
        <f>+IF(I16=I17,IF(I17=I18,IF(I18=I19,"OK","FALSO")))</f>
        <v>OK</v>
      </c>
    </row>
    <row r="21" spans="5:9" x14ac:dyDescent="0.25">
      <c r="E21" s="419" t="s">
        <v>1058</v>
      </c>
      <c r="F21" s="421">
        <f>+ESF!J35</f>
        <v>0</v>
      </c>
      <c r="G21" s="421"/>
    </row>
    <row r="22" spans="5:9" x14ac:dyDescent="0.25">
      <c r="F22" s="422" t="str">
        <f>+IF(F20=F21,"OK","ERROR")</f>
        <v>OK</v>
      </c>
      <c r="G22" s="442"/>
      <c r="I22" s="420" t="s">
        <v>1047</v>
      </c>
    </row>
    <row r="23" spans="5:9" x14ac:dyDescent="0.25">
      <c r="F23" s="421"/>
      <c r="G23" s="421"/>
      <c r="H23" s="419" t="s">
        <v>1062</v>
      </c>
      <c r="I23" s="424">
        <f>+'BALANZA COMPROBACION'!C673+'BALANZA COMPROBACION'!D673+'BALANZA COMPROBACION'!E673+'BALANZA COMPROBACION'!F673-'BALANZA COMPROBACION'!G673+'BALANZA COMPROBACION'!H673</f>
        <v>0</v>
      </c>
    </row>
    <row r="24" spans="5:9" x14ac:dyDescent="0.25">
      <c r="F24" s="421"/>
      <c r="G24" s="421"/>
      <c r="I24" s="422" t="str">
        <f>+IF(I23=0,"OK","ERROR")</f>
        <v>OK</v>
      </c>
    </row>
    <row r="25" spans="5:9" x14ac:dyDescent="0.25">
      <c r="F25" s="421"/>
      <c r="G25" s="421"/>
    </row>
    <row r="26" spans="5:9" x14ac:dyDescent="0.25">
      <c r="F26" s="421"/>
      <c r="G26" s="421"/>
    </row>
    <row r="27" spans="5:9" x14ac:dyDescent="0.25">
      <c r="F27" s="421"/>
      <c r="G27" s="421"/>
    </row>
    <row r="28" spans="5:9" x14ac:dyDescent="0.25">
      <c r="F28" s="421"/>
      <c r="G28" s="421"/>
    </row>
    <row r="29" spans="5:9" x14ac:dyDescent="0.25">
      <c r="F29" s="421"/>
      <c r="G29" s="421"/>
    </row>
  </sheetData>
  <sheetProtection algorithmName="SHA-512" hashValue="0SGLy4prgya28hVXI51FVCjfzQrqIQ80qB+y8IzRY6YO6Lxhxv5md7jTai9whVT4HNg/CKCXgsRrCxvjDSrsbA==" saltValue="5qW/BZMEyfRsw+gvWNaptQ==" spinCount="100000" sheet="1" objects="1" scenarios="1" selectLockedCells="1"/>
  <mergeCells count="1">
    <mergeCell ref="F2:I2"/>
  </mergeCells>
  <pageMargins left="0.7" right="0.7" top="0.75" bottom="0.75" header="0.3" footer="0.3"/>
  <pageSetup scale="6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00B050"/>
    <pageSetUpPr fitToPage="1"/>
  </sheetPr>
  <dimension ref="A1:K67"/>
  <sheetViews>
    <sheetView showGridLines="0" topLeftCell="D31" zoomScale="115" zoomScaleNormal="115" workbookViewId="0">
      <selection activeCell="B28" sqref="B28:F28"/>
    </sheetView>
  </sheetViews>
  <sheetFormatPr baseColWidth="10" defaultRowHeight="12" x14ac:dyDescent="0.2"/>
  <cols>
    <col min="1" max="1" width="4.28515625" style="23" customWidth="1"/>
    <col min="2" max="2" width="24.28515625" style="23" customWidth="1"/>
    <col min="3" max="3" width="23.7109375" style="23" customWidth="1"/>
    <col min="4" max="5" width="20.5703125" style="23" customWidth="1"/>
    <col min="6" max="6" width="7.7109375" style="23" customWidth="1"/>
    <col min="7" max="7" width="27.140625" style="40" customWidth="1"/>
    <col min="8" max="8" width="33.85546875" style="40" customWidth="1"/>
    <col min="9" max="10" width="20.5703125" style="23" customWidth="1"/>
    <col min="11" max="11" width="4.28515625" style="23" customWidth="1"/>
    <col min="12" max="16384" width="11.42578125" style="23"/>
  </cols>
  <sheetData>
    <row r="1" spans="1:11" s="22" customFormat="1" ht="12" customHeight="1" x14ac:dyDescent="0.2">
      <c r="B1" s="475" t="s">
        <v>0</v>
      </c>
      <c r="C1" s="475"/>
      <c r="D1" s="475"/>
      <c r="E1" s="475"/>
      <c r="F1" s="475"/>
      <c r="G1" s="475"/>
      <c r="H1" s="475"/>
      <c r="I1" s="475"/>
      <c r="J1" s="475"/>
      <c r="K1" s="475"/>
    </row>
    <row r="2" spans="1:11" s="22" customFormat="1" ht="12" customHeight="1" x14ac:dyDescent="0.2">
      <c r="B2" s="475" t="s">
        <v>2</v>
      </c>
      <c r="C2" s="475"/>
      <c r="D2" s="475"/>
      <c r="E2" s="475"/>
      <c r="F2" s="475"/>
      <c r="G2" s="475"/>
      <c r="H2" s="475"/>
      <c r="I2" s="475"/>
      <c r="J2" s="475"/>
      <c r="K2" s="475"/>
    </row>
    <row r="3" spans="1:11" s="22" customFormat="1" ht="12" customHeight="1" x14ac:dyDescent="0.2">
      <c r="B3" s="475" t="s">
        <v>1</v>
      </c>
      <c r="C3" s="475"/>
      <c r="D3" s="475"/>
      <c r="E3" s="475"/>
      <c r="F3" s="475"/>
      <c r="G3" s="475"/>
      <c r="H3" s="475"/>
      <c r="I3" s="475"/>
      <c r="J3" s="475"/>
      <c r="K3" s="475"/>
    </row>
    <row r="4" spans="1:11" ht="12" customHeight="1" x14ac:dyDescent="0.2">
      <c r="B4" s="475" t="s">
        <v>623</v>
      </c>
      <c r="C4" s="475"/>
      <c r="D4" s="475"/>
      <c r="E4" s="475"/>
      <c r="F4" s="475"/>
      <c r="G4" s="475"/>
      <c r="H4" s="475"/>
      <c r="I4" s="475"/>
      <c r="J4" s="475"/>
      <c r="K4" s="475"/>
    </row>
    <row r="5" spans="1:11" ht="12" customHeight="1" x14ac:dyDescent="0.2">
      <c r="B5" s="475" t="s">
        <v>1024</v>
      </c>
      <c r="C5" s="475"/>
      <c r="D5" s="475"/>
      <c r="E5" s="475"/>
      <c r="F5" s="475"/>
      <c r="G5" s="475"/>
      <c r="H5" s="475"/>
      <c r="I5" s="475"/>
      <c r="J5" s="475"/>
      <c r="K5" s="475"/>
    </row>
    <row r="6" spans="1:11" ht="12" customHeight="1" x14ac:dyDescent="0.2">
      <c r="B6" s="475" t="s">
        <v>624</v>
      </c>
      <c r="C6" s="475"/>
      <c r="D6" s="475"/>
      <c r="E6" s="475"/>
      <c r="F6" s="475"/>
      <c r="G6" s="475"/>
      <c r="H6" s="475"/>
      <c r="I6" s="475"/>
      <c r="J6" s="475"/>
      <c r="K6" s="475"/>
    </row>
    <row r="7" spans="1:11" ht="12" customHeight="1" x14ac:dyDescent="0.2">
      <c r="A7" s="24"/>
      <c r="B7" s="24"/>
      <c r="C7" s="25"/>
      <c r="D7" s="25"/>
      <c r="E7" s="25"/>
      <c r="F7" s="25"/>
      <c r="G7" s="25"/>
      <c r="H7" s="25"/>
      <c r="I7" s="22"/>
      <c r="J7" s="22"/>
      <c r="K7" s="22"/>
    </row>
    <row r="8" spans="1:11" ht="16.5" customHeight="1" x14ac:dyDescent="0.2">
      <c r="A8" s="24"/>
      <c r="B8" s="26" t="s">
        <v>6</v>
      </c>
      <c r="C8" s="477" t="str">
        <f>ENTE!D8</f>
        <v>UNIDAD DE SERVICIOS PARA LA EDUCACIÓN BÁSICA EN EL ESTADO DE QUERÉTARO</v>
      </c>
      <c r="D8" s="477"/>
      <c r="E8" s="477"/>
      <c r="F8" s="477"/>
      <c r="G8" s="477"/>
      <c r="H8" s="477"/>
      <c r="I8" s="477"/>
      <c r="J8" s="477"/>
      <c r="K8" s="477"/>
    </row>
    <row r="9" spans="1:11" ht="3" customHeight="1" x14ac:dyDescent="0.2">
      <c r="A9" s="24"/>
      <c r="B9" s="26"/>
      <c r="C9" s="76"/>
      <c r="D9" s="76"/>
      <c r="E9" s="76"/>
      <c r="F9" s="76"/>
      <c r="G9" s="76"/>
      <c r="H9" s="76"/>
      <c r="I9" s="76"/>
      <c r="J9" s="76"/>
      <c r="K9" s="76"/>
    </row>
    <row r="10" spans="1:11" ht="3" customHeight="1" x14ac:dyDescent="0.2">
      <c r="A10" s="24"/>
      <c r="B10" s="26"/>
      <c r="C10" s="76"/>
      <c r="D10" s="76"/>
      <c r="E10" s="76"/>
      <c r="F10" s="76"/>
      <c r="G10" s="76"/>
      <c r="H10" s="76"/>
      <c r="I10" s="76"/>
      <c r="J10" s="76"/>
      <c r="K10" s="76"/>
    </row>
    <row r="11" spans="1:11" s="31" customFormat="1" ht="20.100000000000001" customHeight="1" x14ac:dyDescent="0.2">
      <c r="A11" s="171"/>
      <c r="B11" s="479" t="s">
        <v>625</v>
      </c>
      <c r="C11" s="479"/>
      <c r="D11" s="172">
        <v>2015</v>
      </c>
      <c r="E11" s="172">
        <v>2014</v>
      </c>
      <c r="F11" s="173"/>
      <c r="G11" s="479" t="s">
        <v>625</v>
      </c>
      <c r="H11" s="479"/>
      <c r="I11" s="172">
        <v>2015</v>
      </c>
      <c r="J11" s="172">
        <v>2014</v>
      </c>
      <c r="K11" s="174"/>
    </row>
    <row r="12" spans="1:11" s="22" customFormat="1" ht="3" customHeight="1" x14ac:dyDescent="0.2">
      <c r="A12" s="32"/>
      <c r="B12" s="33"/>
      <c r="C12" s="33"/>
      <c r="D12" s="34"/>
      <c r="E12" s="34"/>
      <c r="F12" s="28"/>
      <c r="G12" s="28"/>
      <c r="H12" s="28"/>
      <c r="K12" s="35"/>
    </row>
    <row r="13" spans="1:11" s="40" customFormat="1" x14ac:dyDescent="0.2">
      <c r="A13" s="36"/>
      <c r="B13" s="473" t="s">
        <v>626</v>
      </c>
      <c r="C13" s="473"/>
      <c r="D13" s="37"/>
      <c r="E13" s="37"/>
      <c r="F13" s="38"/>
      <c r="G13" s="473" t="s">
        <v>627</v>
      </c>
      <c r="H13" s="473"/>
      <c r="I13" s="37"/>
      <c r="J13" s="37"/>
      <c r="K13" s="39"/>
    </row>
    <row r="14" spans="1:11" x14ac:dyDescent="0.2">
      <c r="A14" s="41"/>
      <c r="B14" s="463" t="s">
        <v>628</v>
      </c>
      <c r="C14" s="463"/>
      <c r="D14" s="42">
        <f>SUM(D15:D22)</f>
        <v>444551.46</v>
      </c>
      <c r="E14" s="42">
        <f>SUM(E15:E22)</f>
        <v>2225696.63</v>
      </c>
      <c r="F14" s="38"/>
      <c r="G14" s="473" t="s">
        <v>629</v>
      </c>
      <c r="H14" s="473"/>
      <c r="I14" s="42">
        <f>SUM(I15:I17)</f>
        <v>7189490221.2800007</v>
      </c>
      <c r="J14" s="42">
        <f>SUM(J15:J17)</f>
        <v>6970777844.0300007</v>
      </c>
      <c r="K14" s="43"/>
    </row>
    <row r="15" spans="1:11" x14ac:dyDescent="0.2">
      <c r="A15" s="44"/>
      <c r="B15" s="464" t="s">
        <v>630</v>
      </c>
      <c r="C15" s="464"/>
      <c r="D15" s="45">
        <f>-SUM('BALANZA COMPROBACION'!E419:E426)</f>
        <v>0</v>
      </c>
      <c r="E15" s="45">
        <f>-SUM('BALANZA COMPROBACION'!C419:C426)</f>
        <v>0</v>
      </c>
      <c r="F15" s="38"/>
      <c r="G15" s="464" t="s">
        <v>631</v>
      </c>
      <c r="H15" s="464"/>
      <c r="I15" s="45">
        <f>SUM('BALANZA COMPROBACION'!E482:E487)</f>
        <v>6648309904.5300007</v>
      </c>
      <c r="J15" s="45">
        <f>SUM('BALANZA COMPROBACION'!C482:C487)</f>
        <v>6513385790.4200001</v>
      </c>
      <c r="K15" s="43"/>
    </row>
    <row r="16" spans="1:11" x14ac:dyDescent="0.2">
      <c r="A16" s="44"/>
      <c r="B16" s="464" t="s">
        <v>632</v>
      </c>
      <c r="C16" s="464"/>
      <c r="D16" s="45">
        <f>-SUM('BALANZA COMPROBACION'!E427:E431)</f>
        <v>0</v>
      </c>
      <c r="E16" s="45">
        <f>-SUM('BALANZA COMPROBACION'!C427:C431)</f>
        <v>0</v>
      </c>
      <c r="F16" s="38"/>
      <c r="G16" s="464" t="s">
        <v>633</v>
      </c>
      <c r="H16" s="464"/>
      <c r="I16" s="45">
        <f>SUM('BALANZA COMPROBACION'!E488:E496)</f>
        <v>174267307.01000002</v>
      </c>
      <c r="J16" s="45">
        <f>SUM('BALANZA COMPROBACION'!C488:C496)</f>
        <v>178605441.21999997</v>
      </c>
      <c r="K16" s="43"/>
    </row>
    <row r="17" spans="1:11" ht="12" customHeight="1" x14ac:dyDescent="0.2">
      <c r="A17" s="44"/>
      <c r="B17" s="464" t="s">
        <v>634</v>
      </c>
      <c r="C17" s="464"/>
      <c r="D17" s="45">
        <f>-'BALANZA COMPROBACION'!E432</f>
        <v>0</v>
      </c>
      <c r="E17" s="45">
        <f>-'BALANZA COMPROBACION'!C432</f>
        <v>0</v>
      </c>
      <c r="F17" s="38"/>
      <c r="G17" s="464" t="s">
        <v>635</v>
      </c>
      <c r="H17" s="464"/>
      <c r="I17" s="45">
        <f>SUM('BALANZA COMPROBACION'!E497:E505)</f>
        <v>366913009.74000001</v>
      </c>
      <c r="J17" s="45">
        <f>SUM('BALANZA COMPROBACION'!C497:C505)</f>
        <v>278786612.38999999</v>
      </c>
      <c r="K17" s="43"/>
    </row>
    <row r="18" spans="1:11" x14ac:dyDescent="0.2">
      <c r="A18" s="44"/>
      <c r="B18" s="464" t="s">
        <v>636</v>
      </c>
      <c r="C18" s="464"/>
      <c r="D18" s="45">
        <f>-SUM('BALANZA COMPROBACION'!E433:E437)</f>
        <v>0</v>
      </c>
      <c r="E18" s="45">
        <f>-SUM('BALANZA COMPROBACION'!C433:C437)</f>
        <v>0</v>
      </c>
      <c r="F18" s="38"/>
      <c r="G18" s="46"/>
      <c r="H18" s="47"/>
      <c r="I18" s="48"/>
      <c r="J18" s="48"/>
      <c r="K18" s="43"/>
    </row>
    <row r="19" spans="1:11" x14ac:dyDescent="0.2">
      <c r="A19" s="44"/>
      <c r="B19" s="464" t="s">
        <v>637</v>
      </c>
      <c r="C19" s="464"/>
      <c r="D19" s="45">
        <f>-SUM('BALANZA COMPROBACION'!E438:E441)</f>
        <v>0</v>
      </c>
      <c r="E19" s="45">
        <f>-SUM('BALANZA COMPROBACION'!C438:C441)</f>
        <v>1448418.23</v>
      </c>
      <c r="F19" s="38"/>
      <c r="G19" s="473" t="s">
        <v>638</v>
      </c>
      <c r="H19" s="473"/>
      <c r="I19" s="42">
        <f>SUM(I20:I28)</f>
        <v>142161845.81999999</v>
      </c>
      <c r="J19" s="42">
        <f>SUM(J20:J28)</f>
        <v>143522854.25999999</v>
      </c>
      <c r="K19" s="43"/>
    </row>
    <row r="20" spans="1:11" x14ac:dyDescent="0.2">
      <c r="A20" s="44"/>
      <c r="B20" s="464" t="s">
        <v>639</v>
      </c>
      <c r="C20" s="464"/>
      <c r="D20" s="45">
        <f>-SUM('BALANZA COMPROBACION'!E442:E450)</f>
        <v>0</v>
      </c>
      <c r="E20" s="45">
        <f>-SUM('BALANZA COMPROBACION'!C442:C450)</f>
        <v>0</v>
      </c>
      <c r="F20" s="38"/>
      <c r="G20" s="464" t="s">
        <v>640</v>
      </c>
      <c r="H20" s="464"/>
      <c r="I20" s="45">
        <f>SUM('BALANZA COMPROBACION'!E506:E507)</f>
        <v>1407867</v>
      </c>
      <c r="J20" s="45">
        <f>SUM('BALANZA COMPROBACION'!C506:C507)</f>
        <v>0</v>
      </c>
      <c r="K20" s="43"/>
    </row>
    <row r="21" spans="1:11" x14ac:dyDescent="0.2">
      <c r="A21" s="44"/>
      <c r="B21" s="464" t="s">
        <v>641</v>
      </c>
      <c r="C21" s="464"/>
      <c r="D21" s="45">
        <f>-SUM('BALANZA COMPROBACION'!E451:E454)</f>
        <v>444551.46</v>
      </c>
      <c r="E21" s="45">
        <f>-SUM('BALANZA COMPROBACION'!C451:C454)</f>
        <v>777278.4</v>
      </c>
      <c r="F21" s="38"/>
      <c r="G21" s="464" t="s">
        <v>642</v>
      </c>
      <c r="H21" s="464"/>
      <c r="I21" s="45">
        <f>SUM('BALANZA COMPROBACION'!E508:E509)</f>
        <v>0</v>
      </c>
      <c r="J21" s="45">
        <f>SUM('BALANZA COMPROBACION'!C508:C509)</f>
        <v>0</v>
      </c>
      <c r="K21" s="43"/>
    </row>
    <row r="22" spans="1:11" ht="52.5" customHeight="1" x14ac:dyDescent="0.2">
      <c r="A22" s="44"/>
      <c r="B22" s="465" t="s">
        <v>643</v>
      </c>
      <c r="C22" s="465"/>
      <c r="D22" s="45">
        <f>-SUM('BALANZA COMPROBACION'!E455:E456)</f>
        <v>0</v>
      </c>
      <c r="E22" s="45">
        <f>-SUM('BALANZA COMPROBACION'!C455:C456)</f>
        <v>0</v>
      </c>
      <c r="F22" s="38"/>
      <c r="G22" s="464" t="s">
        <v>644</v>
      </c>
      <c r="H22" s="464"/>
      <c r="I22" s="45">
        <f>SUM('BALANZA COMPROBACION'!E510:E511)</f>
        <v>0</v>
      </c>
      <c r="J22" s="45">
        <f>SUM('BALANZA COMPROBACION'!C510:C511)</f>
        <v>0</v>
      </c>
      <c r="K22" s="43"/>
    </row>
    <row r="23" spans="1:11" x14ac:dyDescent="0.2">
      <c r="A23" s="41"/>
      <c r="B23" s="46"/>
      <c r="C23" s="47"/>
      <c r="D23" s="48"/>
      <c r="E23" s="48"/>
      <c r="F23" s="38"/>
      <c r="G23" s="464" t="s">
        <v>645</v>
      </c>
      <c r="H23" s="464"/>
      <c r="I23" s="45">
        <f>SUM('BALANZA COMPROBACION'!E512:E515)</f>
        <v>79276043.329999998</v>
      </c>
      <c r="J23" s="45">
        <f>SUM('BALANZA COMPROBACION'!C512:C515)</f>
        <v>100846321.52</v>
      </c>
      <c r="K23" s="43"/>
    </row>
    <row r="24" spans="1:11" ht="36.75" customHeight="1" x14ac:dyDescent="0.2">
      <c r="A24" s="41"/>
      <c r="B24" s="463" t="s">
        <v>646</v>
      </c>
      <c r="C24" s="463"/>
      <c r="D24" s="42">
        <f>SUM(D25:D26)</f>
        <v>7346940160.7399998</v>
      </c>
      <c r="E24" s="42">
        <f>SUM(E25:E26)</f>
        <v>7159032911.2199993</v>
      </c>
      <c r="F24" s="38"/>
      <c r="G24" s="464" t="s">
        <v>647</v>
      </c>
      <c r="H24" s="464"/>
      <c r="I24" s="45">
        <f>SUM('BALANZA COMPROBACION'!E516:E518)</f>
        <v>61477935.490000002</v>
      </c>
      <c r="J24" s="45">
        <f>SUM('BALANZA COMPROBACION'!C516:C518)</f>
        <v>42676532.740000002</v>
      </c>
      <c r="K24" s="43"/>
    </row>
    <row r="25" spans="1:11" x14ac:dyDescent="0.2">
      <c r="A25" s="44"/>
      <c r="B25" s="464" t="s">
        <v>648</v>
      </c>
      <c r="C25" s="464"/>
      <c r="D25" s="37">
        <f>-SUM('BALANZA COMPROBACION'!E457:E459)</f>
        <v>6612613190.5900002</v>
      </c>
      <c r="E25" s="37">
        <f>-SUM('BALANZA COMPROBACION'!C457:C459)</f>
        <v>6522413653.5599995</v>
      </c>
      <c r="F25" s="38"/>
      <c r="G25" s="464" t="s">
        <v>649</v>
      </c>
      <c r="H25" s="464"/>
      <c r="I25" s="45">
        <f>SUM('BALANZA COMPROBACION'!E519:E520)</f>
        <v>0</v>
      </c>
      <c r="J25" s="45">
        <f>SUM('BALANZA COMPROBACION'!C519:C520)</f>
        <v>0</v>
      </c>
      <c r="K25" s="43"/>
    </row>
    <row r="26" spans="1:11" x14ac:dyDescent="0.2">
      <c r="A26" s="44"/>
      <c r="B26" s="464" t="s">
        <v>650</v>
      </c>
      <c r="C26" s="464"/>
      <c r="D26" s="45">
        <f>-SUM('BALANZA COMPROBACION'!E461:E465)</f>
        <v>734326970.14999998</v>
      </c>
      <c r="E26" s="45">
        <f>-SUM('BALANZA COMPROBACION'!C461:C465)</f>
        <v>636619257.65999997</v>
      </c>
      <c r="F26" s="38"/>
      <c r="G26" s="464" t="s">
        <v>651</v>
      </c>
      <c r="H26" s="464"/>
      <c r="I26" s="45">
        <f>SUM('BALANZA COMPROBACION'!E521)</f>
        <v>0</v>
      </c>
      <c r="J26" s="45">
        <f>SUM('BALANZA COMPROBACION'!C521)</f>
        <v>0</v>
      </c>
      <c r="K26" s="43"/>
    </row>
    <row r="27" spans="1:11" x14ac:dyDescent="0.2">
      <c r="A27" s="41"/>
      <c r="B27" s="46"/>
      <c r="C27" s="47"/>
      <c r="D27" s="48"/>
      <c r="E27" s="48"/>
      <c r="F27" s="38"/>
      <c r="G27" s="464" t="s">
        <v>652</v>
      </c>
      <c r="H27" s="464"/>
      <c r="I27" s="45">
        <f>SUM('BALANZA COMPROBACION'!E522:E526)</f>
        <v>0</v>
      </c>
      <c r="J27" s="45">
        <f>SUM('BALANZA COMPROBACION'!C522:C526)</f>
        <v>0</v>
      </c>
      <c r="K27" s="43"/>
    </row>
    <row r="28" spans="1:11" x14ac:dyDescent="0.2">
      <c r="A28" s="44"/>
      <c r="B28" s="463" t="s">
        <v>653</v>
      </c>
      <c r="C28" s="463"/>
      <c r="D28" s="42">
        <f>SUM(D29:D33)</f>
        <v>2561806</v>
      </c>
      <c r="E28" s="42">
        <f>SUM(E29:E33)</f>
        <v>11689708.459999999</v>
      </c>
      <c r="F28" s="38"/>
      <c r="G28" s="464" t="s">
        <v>654</v>
      </c>
      <c r="H28" s="464"/>
      <c r="I28" s="45">
        <f>SUM('BALANZA COMPROBACION'!E527:E528)</f>
        <v>0</v>
      </c>
      <c r="J28" s="45">
        <f>SUM('BALANZA COMPROBACION'!C527:C528)</f>
        <v>0</v>
      </c>
      <c r="K28" s="43"/>
    </row>
    <row r="29" spans="1:11" x14ac:dyDescent="0.2">
      <c r="A29" s="44"/>
      <c r="B29" s="464" t="s">
        <v>655</v>
      </c>
      <c r="C29" s="464"/>
      <c r="D29" s="45">
        <f>-SUM('BALANZA COMPROBACION'!E466:E467)</f>
        <v>0</v>
      </c>
      <c r="E29" s="45">
        <f>-SUM('BALANZA COMPROBACION'!C466:C467)</f>
        <v>0</v>
      </c>
      <c r="F29" s="38"/>
      <c r="G29" s="46"/>
      <c r="H29" s="47"/>
      <c r="I29" s="48"/>
      <c r="J29" s="48"/>
      <c r="K29" s="43"/>
    </row>
    <row r="30" spans="1:11" x14ac:dyDescent="0.2">
      <c r="A30" s="44"/>
      <c r="B30" s="464" t="s">
        <v>656</v>
      </c>
      <c r="C30" s="464"/>
      <c r="D30" s="45">
        <f>-SUM('BALANZA COMPROBACION'!E468:E472)</f>
        <v>0</v>
      </c>
      <c r="E30" s="45">
        <f>-SUM('BALANZA COMPROBACION'!C468:C472)</f>
        <v>0</v>
      </c>
      <c r="F30" s="38"/>
      <c r="G30" s="463" t="s">
        <v>648</v>
      </c>
      <c r="H30" s="463"/>
      <c r="I30" s="42">
        <f>SUM(I31:I33)</f>
        <v>0</v>
      </c>
      <c r="J30" s="42">
        <f>SUM(J31:J33)</f>
        <v>0</v>
      </c>
      <c r="K30" s="43"/>
    </row>
    <row r="31" spans="1:11" ht="26.25" customHeight="1" x14ac:dyDescent="0.2">
      <c r="A31" s="44"/>
      <c r="B31" s="465" t="s">
        <v>657</v>
      </c>
      <c r="C31" s="465"/>
      <c r="D31" s="45">
        <f>-SUM('BALANZA COMPROBACION'!E473)</f>
        <v>0</v>
      </c>
      <c r="E31" s="45">
        <f>-SUM('BALANZA COMPROBACION'!C473)</f>
        <v>0</v>
      </c>
      <c r="F31" s="38"/>
      <c r="G31" s="464" t="s">
        <v>658</v>
      </c>
      <c r="H31" s="464"/>
      <c r="I31" s="45">
        <f>SUM('BALANZA COMPROBACION'!E529:E530)</f>
        <v>0</v>
      </c>
      <c r="J31" s="45">
        <f>SUM('BALANZA COMPROBACION'!C529:C530)</f>
        <v>0</v>
      </c>
      <c r="K31" s="43"/>
    </row>
    <row r="32" spans="1:11" x14ac:dyDescent="0.2">
      <c r="A32" s="44"/>
      <c r="B32" s="464" t="s">
        <v>659</v>
      </c>
      <c r="C32" s="464"/>
      <c r="D32" s="45">
        <f>-SUM('BALANZA COMPROBACION'!E474)</f>
        <v>0</v>
      </c>
      <c r="E32" s="45">
        <f>-SUM('BALANZA COMPROBACION'!C474)</f>
        <v>0</v>
      </c>
      <c r="F32" s="38"/>
      <c r="G32" s="464" t="s">
        <v>660</v>
      </c>
      <c r="H32" s="464"/>
      <c r="I32" s="45">
        <f>SUM('BALANZA COMPROBACION'!E531:E532)</f>
        <v>0</v>
      </c>
      <c r="J32" s="45">
        <f>SUM('BALANZA COMPROBACION'!C531:C532)</f>
        <v>0</v>
      </c>
      <c r="K32" s="43"/>
    </row>
    <row r="33" spans="1:11" x14ac:dyDescent="0.2">
      <c r="A33" s="44"/>
      <c r="B33" s="464" t="s">
        <v>661</v>
      </c>
      <c r="C33" s="464"/>
      <c r="D33" s="45">
        <f>-SUM('BALANZA COMPROBACION'!E475:E481)</f>
        <v>2561806</v>
      </c>
      <c r="E33" s="45">
        <f>-SUM('BALANZA COMPROBACION'!C475:C481)</f>
        <v>11689708.459999999</v>
      </c>
      <c r="F33" s="38"/>
      <c r="G33" s="464" t="s">
        <v>662</v>
      </c>
      <c r="H33" s="464"/>
      <c r="I33" s="45">
        <f>SUM('BALANZA COMPROBACION'!E533:E534)</f>
        <v>0</v>
      </c>
      <c r="J33" s="45">
        <f>SUM('BALANZA COMPROBACION'!C533:C534)</f>
        <v>0</v>
      </c>
      <c r="K33" s="43"/>
    </row>
    <row r="34" spans="1:11" x14ac:dyDescent="0.2">
      <c r="A34" s="41"/>
      <c r="B34" s="46"/>
      <c r="C34" s="49"/>
      <c r="D34" s="37"/>
      <c r="E34" s="37"/>
      <c r="F34" s="38"/>
      <c r="G34" s="46"/>
      <c r="H34" s="47"/>
      <c r="I34" s="48"/>
      <c r="J34" s="48"/>
      <c r="K34" s="43"/>
    </row>
    <row r="35" spans="1:11" x14ac:dyDescent="0.2">
      <c r="A35" s="50"/>
      <c r="B35" s="468" t="s">
        <v>663</v>
      </c>
      <c r="C35" s="468"/>
      <c r="D35" s="51">
        <f>D14+D24+D28</f>
        <v>7349946518.1999998</v>
      </c>
      <c r="E35" s="51">
        <f>E14+E24+E28</f>
        <v>7172948316.3099995</v>
      </c>
      <c r="F35" s="52"/>
      <c r="G35" s="473" t="s">
        <v>664</v>
      </c>
      <c r="H35" s="473"/>
      <c r="I35" s="53">
        <f>SUM(I36:I40)</f>
        <v>0</v>
      </c>
      <c r="J35" s="53">
        <f>SUM(J36:J40)</f>
        <v>0</v>
      </c>
      <c r="K35" s="43"/>
    </row>
    <row r="36" spans="1:11" x14ac:dyDescent="0.2">
      <c r="A36" s="41"/>
      <c r="B36" s="468"/>
      <c r="C36" s="468"/>
      <c r="D36" s="37"/>
      <c r="E36" s="37"/>
      <c r="F36" s="38"/>
      <c r="G36" s="464" t="s">
        <v>665</v>
      </c>
      <c r="H36" s="464"/>
      <c r="I36" s="45">
        <f>SUM('BALANZA COMPROBACION'!E535:E536)</f>
        <v>0</v>
      </c>
      <c r="J36" s="45">
        <f>SUM('BALANZA COMPROBACION'!C535:C536)</f>
        <v>0</v>
      </c>
      <c r="K36" s="43"/>
    </row>
    <row r="37" spans="1:11" x14ac:dyDescent="0.2">
      <c r="A37" s="54"/>
      <c r="B37" s="38"/>
      <c r="C37" s="38"/>
      <c r="D37" s="38"/>
      <c r="E37" s="38"/>
      <c r="F37" s="38"/>
      <c r="G37" s="464" t="s">
        <v>666</v>
      </c>
      <c r="H37" s="464"/>
      <c r="I37" s="45">
        <f>SUM('BALANZA COMPROBACION'!E537:E538)</f>
        <v>0</v>
      </c>
      <c r="J37" s="45">
        <f>SUM('BALANZA COMPROBACION'!C537:C538)</f>
        <v>0</v>
      </c>
      <c r="K37" s="43"/>
    </row>
    <row r="38" spans="1:11" x14ac:dyDescent="0.2">
      <c r="A38" s="54"/>
      <c r="B38" s="38"/>
      <c r="C38" s="38"/>
      <c r="D38" s="38"/>
      <c r="E38" s="38"/>
      <c r="F38" s="38"/>
      <c r="G38" s="464" t="s">
        <v>667</v>
      </c>
      <c r="H38" s="464"/>
      <c r="I38" s="45">
        <f>SUM('BALANZA COMPROBACION'!E539:E540)</f>
        <v>0</v>
      </c>
      <c r="J38" s="45">
        <f>SUM('BALANZA COMPROBACION'!C539:C540)</f>
        <v>0</v>
      </c>
      <c r="K38" s="43"/>
    </row>
    <row r="39" spans="1:11" x14ac:dyDescent="0.2">
      <c r="A39" s="54"/>
      <c r="B39" s="38"/>
      <c r="C39" s="38"/>
      <c r="D39" s="38"/>
      <c r="E39" s="38"/>
      <c r="F39" s="38"/>
      <c r="G39" s="464" t="s">
        <v>668</v>
      </c>
      <c r="H39" s="464"/>
      <c r="I39" s="45">
        <f>SUM('BALANZA COMPROBACION'!E541)</f>
        <v>0</v>
      </c>
      <c r="J39" s="45">
        <f>SUM('BALANZA COMPROBACION'!C541)</f>
        <v>0</v>
      </c>
      <c r="K39" s="43"/>
    </row>
    <row r="40" spans="1:11" x14ac:dyDescent="0.2">
      <c r="A40" s="54"/>
      <c r="B40" s="38"/>
      <c r="C40" s="38"/>
      <c r="D40" s="38"/>
      <c r="E40" s="38"/>
      <c r="F40" s="38"/>
      <c r="G40" s="464" t="s">
        <v>669</v>
      </c>
      <c r="H40" s="464"/>
      <c r="I40" s="45">
        <f>SUM('BALANZA COMPROBACION'!E542:E543)</f>
        <v>0</v>
      </c>
      <c r="J40" s="45">
        <f>SUM('BALANZA COMPROBACION'!C542:C543)</f>
        <v>0</v>
      </c>
      <c r="K40" s="43"/>
    </row>
    <row r="41" spans="1:11" x14ac:dyDescent="0.2">
      <c r="A41" s="54"/>
      <c r="B41" s="38"/>
      <c r="C41" s="38"/>
      <c r="D41" s="38"/>
      <c r="E41" s="38"/>
      <c r="F41" s="38"/>
      <c r="G41" s="46"/>
      <c r="H41" s="47"/>
      <c r="I41" s="48"/>
      <c r="J41" s="48"/>
      <c r="K41" s="43"/>
    </row>
    <row r="42" spans="1:11" x14ac:dyDescent="0.2">
      <c r="A42" s="54"/>
      <c r="B42" s="38"/>
      <c r="C42" s="38"/>
      <c r="D42" s="38"/>
      <c r="E42" s="38"/>
      <c r="F42" s="38"/>
      <c r="G42" s="463" t="s">
        <v>670</v>
      </c>
      <c r="H42" s="463"/>
      <c r="I42" s="53">
        <f>SUM(I43:I48)</f>
        <v>102799381.96000001</v>
      </c>
      <c r="J42" s="53">
        <f>SUM(J43:J48)</f>
        <v>68950441.569999993</v>
      </c>
      <c r="K42" s="43"/>
    </row>
    <row r="43" spans="1:11" ht="26.25" customHeight="1" x14ac:dyDescent="0.2">
      <c r="A43" s="54"/>
      <c r="B43" s="38"/>
      <c r="C43" s="38"/>
      <c r="D43" s="38"/>
      <c r="E43" s="38"/>
      <c r="F43" s="38"/>
      <c r="G43" s="465" t="s">
        <v>671</v>
      </c>
      <c r="H43" s="465"/>
      <c r="I43" s="45">
        <f>SUM('BALANZA COMPROBACION'!E544:E588)</f>
        <v>102799381.96000001</v>
      </c>
      <c r="J43" s="45">
        <f>SUM('BALANZA COMPROBACION'!C544:C588)</f>
        <v>68950441.569999993</v>
      </c>
      <c r="K43" s="43"/>
    </row>
    <row r="44" spans="1:11" x14ac:dyDescent="0.2">
      <c r="A44" s="54"/>
      <c r="B44" s="38"/>
      <c r="C44" s="38"/>
      <c r="D44" s="38"/>
      <c r="E44" s="38"/>
      <c r="F44" s="38"/>
      <c r="G44" s="464" t="s">
        <v>672</v>
      </c>
      <c r="H44" s="464"/>
      <c r="I44" s="45">
        <f>SUM('BALANZA COMPROBACION'!E589:E591)+SUM('BALANZA COMPROBACION'!E592:E595)</f>
        <v>0</v>
      </c>
      <c r="J44" s="45">
        <f>SUM('BALANZA COMPROBACION'!C589:C591)+SUM('BALANZA COMPROBACION'!C592:C595)</f>
        <v>0</v>
      </c>
      <c r="K44" s="43"/>
    </row>
    <row r="45" spans="1:11" ht="12" customHeight="1" x14ac:dyDescent="0.2">
      <c r="A45" s="54"/>
      <c r="B45" s="38"/>
      <c r="C45" s="38"/>
      <c r="D45" s="38"/>
      <c r="E45" s="38"/>
      <c r="F45" s="38"/>
      <c r="G45" s="464" t="s">
        <v>673</v>
      </c>
      <c r="H45" s="464"/>
      <c r="I45" s="45">
        <f>SUM('BALANZA COMPROBACION'!E596:E600)</f>
        <v>0</v>
      </c>
      <c r="J45" s="45">
        <f>SUM('BALANZA COMPROBACION'!C596:C600)</f>
        <v>0</v>
      </c>
      <c r="K45" s="43"/>
    </row>
    <row r="46" spans="1:11" ht="25.5" customHeight="1" x14ac:dyDescent="0.2">
      <c r="A46" s="54"/>
      <c r="B46" s="38"/>
      <c r="C46" s="38"/>
      <c r="D46" s="38"/>
      <c r="E46" s="38"/>
      <c r="F46" s="38"/>
      <c r="G46" s="465" t="s">
        <v>674</v>
      </c>
      <c r="H46" s="465"/>
      <c r="I46" s="45">
        <f>SUM('BALANZA COMPROBACION'!E601)</f>
        <v>0</v>
      </c>
      <c r="J46" s="45">
        <f>SUM('BALANZA COMPROBACION'!C601)</f>
        <v>0</v>
      </c>
      <c r="K46" s="43"/>
    </row>
    <row r="47" spans="1:11" x14ac:dyDescent="0.2">
      <c r="A47" s="54"/>
      <c r="B47" s="38"/>
      <c r="C47" s="38"/>
      <c r="D47" s="38"/>
      <c r="E47" s="38"/>
      <c r="F47" s="38"/>
      <c r="G47" s="464" t="s">
        <v>675</v>
      </c>
      <c r="H47" s="464"/>
      <c r="I47" s="45">
        <f>SUM('BALANZA COMPROBACION'!E602)</f>
        <v>0</v>
      </c>
      <c r="J47" s="45">
        <f>SUM('BALANZA COMPROBACION'!C602)</f>
        <v>0</v>
      </c>
      <c r="K47" s="43"/>
    </row>
    <row r="48" spans="1:11" x14ac:dyDescent="0.2">
      <c r="A48" s="54"/>
      <c r="B48" s="38"/>
      <c r="C48" s="38"/>
      <c r="D48" s="38"/>
      <c r="E48" s="38"/>
      <c r="F48" s="38"/>
      <c r="G48" s="464" t="s">
        <v>676</v>
      </c>
      <c r="H48" s="464"/>
      <c r="I48" s="45">
        <f>SUM('BALANZA COMPROBACION'!E603:E610)</f>
        <v>0</v>
      </c>
      <c r="J48" s="45">
        <f>SUM('BALANZA COMPROBACION'!C603:C610)</f>
        <v>0</v>
      </c>
      <c r="K48" s="43"/>
    </row>
    <row r="49" spans="1:11" x14ac:dyDescent="0.2">
      <c r="A49" s="54"/>
      <c r="B49" s="38"/>
      <c r="C49" s="38"/>
      <c r="D49" s="38"/>
      <c r="E49" s="38"/>
      <c r="F49" s="38"/>
      <c r="G49" s="46"/>
      <c r="H49" s="47"/>
      <c r="I49" s="48"/>
      <c r="J49" s="48"/>
      <c r="K49" s="43"/>
    </row>
    <row r="50" spans="1:11" x14ac:dyDescent="0.2">
      <c r="A50" s="54"/>
      <c r="B50" s="38"/>
      <c r="C50" s="38"/>
      <c r="D50" s="38"/>
      <c r="E50" s="38"/>
      <c r="F50" s="38"/>
      <c r="G50" s="463" t="s">
        <v>677</v>
      </c>
      <c r="H50" s="463"/>
      <c r="I50" s="53">
        <f>SUM(I51)</f>
        <v>0</v>
      </c>
      <c r="J50" s="53">
        <f>SUM(J51)</f>
        <v>0</v>
      </c>
      <c r="K50" s="43"/>
    </row>
    <row r="51" spans="1:11" x14ac:dyDescent="0.2">
      <c r="A51" s="54"/>
      <c r="B51" s="38"/>
      <c r="C51" s="38"/>
      <c r="D51" s="38"/>
      <c r="E51" s="38"/>
      <c r="F51" s="38"/>
      <c r="G51" s="464" t="s">
        <v>678</v>
      </c>
      <c r="H51" s="464"/>
      <c r="I51" s="45">
        <f>SUM('BALANZA COMPROBACION'!E611)</f>
        <v>0</v>
      </c>
      <c r="J51" s="45">
        <f>SUM('BALANZA COMPROBACION'!C611)</f>
        <v>0</v>
      </c>
      <c r="K51" s="43"/>
    </row>
    <row r="52" spans="1:11" x14ac:dyDescent="0.2">
      <c r="A52" s="54"/>
      <c r="B52" s="38"/>
      <c r="C52" s="38"/>
      <c r="D52" s="38"/>
      <c r="E52" s="38"/>
      <c r="F52" s="38"/>
      <c r="G52" s="46"/>
      <c r="H52" s="47"/>
      <c r="I52" s="48"/>
      <c r="J52" s="48"/>
      <c r="K52" s="43"/>
    </row>
    <row r="53" spans="1:11" x14ac:dyDescent="0.2">
      <c r="A53" s="54"/>
      <c r="B53" s="38"/>
      <c r="C53" s="38"/>
      <c r="D53" s="38"/>
      <c r="E53" s="38"/>
      <c r="F53" s="38"/>
      <c r="G53" s="468" t="s">
        <v>679</v>
      </c>
      <c r="H53" s="468"/>
      <c r="I53" s="55">
        <f>I14+I19+I30+I35+I42+I50</f>
        <v>7434451449.0600004</v>
      </c>
      <c r="J53" s="55">
        <f>J14+J19+J30+J35+J42+J50</f>
        <v>7183251139.8600006</v>
      </c>
      <c r="K53" s="56"/>
    </row>
    <row r="54" spans="1:11" x14ac:dyDescent="0.2">
      <c r="A54" s="54"/>
      <c r="B54" s="38"/>
      <c r="C54" s="38"/>
      <c r="D54" s="38"/>
      <c r="E54" s="38"/>
      <c r="F54" s="38"/>
      <c r="G54" s="57"/>
      <c r="H54" s="57"/>
      <c r="I54" s="48"/>
      <c r="J54" s="48"/>
      <c r="K54" s="56"/>
    </row>
    <row r="55" spans="1:11" x14ac:dyDescent="0.2">
      <c r="A55" s="54"/>
      <c r="B55" s="38"/>
      <c r="C55" s="38"/>
      <c r="D55" s="38"/>
      <c r="E55" s="38"/>
      <c r="F55" s="38"/>
      <c r="G55" s="469" t="s">
        <v>680</v>
      </c>
      <c r="H55" s="469"/>
      <c r="I55" s="55">
        <f>D35-I53</f>
        <v>-84504930.86000061</v>
      </c>
      <c r="J55" s="55">
        <f>E35-J53</f>
        <v>-10302823.550001144</v>
      </c>
      <c r="K55" s="56"/>
    </row>
    <row r="56" spans="1:11" ht="6" customHeight="1" x14ac:dyDescent="0.2">
      <c r="A56" s="58"/>
      <c r="B56" s="59"/>
      <c r="C56" s="59"/>
      <c r="D56" s="59"/>
      <c r="E56" s="59"/>
      <c r="F56" s="59"/>
      <c r="G56" s="60"/>
      <c r="H56" s="60"/>
      <c r="I56" s="59"/>
      <c r="J56" s="59"/>
      <c r="K56" s="61"/>
    </row>
    <row r="57" spans="1:11" ht="6" customHeight="1" x14ac:dyDescent="0.2">
      <c r="A57" s="22"/>
      <c r="B57" s="22"/>
      <c r="C57" s="22"/>
      <c r="D57" s="22"/>
      <c r="E57" s="22"/>
      <c r="F57" s="22"/>
      <c r="G57" s="28"/>
      <c r="H57" s="28"/>
      <c r="I57" s="22"/>
      <c r="J57" s="22"/>
      <c r="K57" s="22"/>
    </row>
    <row r="58" spans="1:11" ht="6" customHeight="1" x14ac:dyDescent="0.2">
      <c r="A58" s="59"/>
      <c r="B58" s="62"/>
      <c r="C58" s="63"/>
      <c r="D58" s="64"/>
      <c r="E58" s="64"/>
      <c r="F58" s="59"/>
      <c r="G58" s="65"/>
      <c r="H58" s="66"/>
      <c r="I58" s="64"/>
      <c r="J58" s="64"/>
      <c r="K58" s="59"/>
    </row>
    <row r="59" spans="1:11" ht="6" customHeight="1" x14ac:dyDescent="0.2">
      <c r="A59" s="22"/>
      <c r="B59" s="47"/>
      <c r="C59" s="67"/>
      <c r="D59" s="68"/>
      <c r="E59" s="68"/>
      <c r="F59" s="22"/>
      <c r="G59" s="69"/>
      <c r="H59" s="70"/>
      <c r="I59" s="68"/>
      <c r="J59" s="68"/>
      <c r="K59" s="22"/>
    </row>
    <row r="60" spans="1:11" ht="15" customHeight="1" x14ac:dyDescent="0.2">
      <c r="B60" s="470" t="s">
        <v>681</v>
      </c>
      <c r="C60" s="470"/>
      <c r="D60" s="470"/>
      <c r="E60" s="470"/>
      <c r="F60" s="470"/>
      <c r="G60" s="470"/>
      <c r="H60" s="470"/>
      <c r="I60" s="470"/>
      <c r="J60" s="470"/>
    </row>
    <row r="61" spans="1:11" ht="9.75" customHeight="1" x14ac:dyDescent="0.2">
      <c r="B61" s="47"/>
      <c r="C61" s="67"/>
      <c r="D61" s="68"/>
      <c r="E61" s="68"/>
      <c r="G61" s="69"/>
      <c r="H61" s="67"/>
      <c r="I61" s="68"/>
      <c r="J61" s="68"/>
    </row>
    <row r="62" spans="1:11" ht="30" customHeight="1" x14ac:dyDescent="0.2">
      <c r="B62" s="47"/>
      <c r="C62" s="471"/>
      <c r="D62" s="471"/>
      <c r="E62" s="68"/>
      <c r="G62" s="472"/>
      <c r="H62" s="472"/>
      <c r="I62" s="68"/>
      <c r="J62" s="68"/>
    </row>
    <row r="63" spans="1:11" ht="14.1" customHeight="1" x14ac:dyDescent="0.2">
      <c r="B63" s="71"/>
      <c r="C63" s="466" t="str">
        <f>ENTE!D10</f>
        <v>ING. ENRIQUE DE ECHAVARRI LARY</v>
      </c>
      <c r="D63" s="466"/>
      <c r="E63" s="68"/>
      <c r="F63" s="68"/>
      <c r="G63" s="466" t="str">
        <f>ENTE!D14</f>
        <v>LIC. RICARDO SALVADOR BACA MUÑOZ</v>
      </c>
      <c r="H63" s="466"/>
      <c r="I63" s="72"/>
      <c r="J63" s="68"/>
    </row>
    <row r="64" spans="1:11" ht="14.1" customHeight="1" x14ac:dyDescent="0.2">
      <c r="B64" s="73"/>
      <c r="C64" s="467" t="str">
        <f>ENTE!D12</f>
        <v>COORDINADOR GENERAL</v>
      </c>
      <c r="D64" s="467"/>
      <c r="E64" s="74"/>
      <c r="F64" s="74"/>
      <c r="G64" s="467" t="str">
        <f>ENTE!D16</f>
        <v>DIRECTOR DE ADMINISTRACIÓN</v>
      </c>
      <c r="H64" s="467"/>
      <c r="I64" s="72"/>
      <c r="J64" s="68"/>
    </row>
    <row r="65" spans="4:4" ht="9.9499999999999993" customHeight="1" x14ac:dyDescent="0.2">
      <c r="D65" s="75"/>
    </row>
    <row r="66" spans="4:4" x14ac:dyDescent="0.2">
      <c r="D66" s="75"/>
    </row>
    <row r="67" spans="4:4" x14ac:dyDescent="0.2">
      <c r="D67" s="75"/>
    </row>
  </sheetData>
  <sheetProtection selectLockedCells="1"/>
  <mergeCells count="73">
    <mergeCell ref="B14:C14"/>
    <mergeCell ref="G14:H14"/>
    <mergeCell ref="B1:K1"/>
    <mergeCell ref="B2:K2"/>
    <mergeCell ref="B3:K3"/>
    <mergeCell ref="B4:K4"/>
    <mergeCell ref="B5:K5"/>
    <mergeCell ref="B6:K6"/>
    <mergeCell ref="C8:K8"/>
    <mergeCell ref="B11:C11"/>
    <mergeCell ref="G11:H11"/>
    <mergeCell ref="B13:C13"/>
    <mergeCell ref="G13:H13"/>
    <mergeCell ref="B21:C21"/>
    <mergeCell ref="G21:H21"/>
    <mergeCell ref="B15:C15"/>
    <mergeCell ref="G15:H15"/>
    <mergeCell ref="B16:C16"/>
    <mergeCell ref="G16:H16"/>
    <mergeCell ref="B17:C17"/>
    <mergeCell ref="G17:H17"/>
    <mergeCell ref="B18:C18"/>
    <mergeCell ref="B19:C19"/>
    <mergeCell ref="G19:H19"/>
    <mergeCell ref="B20:C20"/>
    <mergeCell ref="G20:H20"/>
    <mergeCell ref="B29:C29"/>
    <mergeCell ref="B22:C22"/>
    <mergeCell ref="G22:H22"/>
    <mergeCell ref="G23:H23"/>
    <mergeCell ref="B24:C24"/>
    <mergeCell ref="G24:H24"/>
    <mergeCell ref="B25:C25"/>
    <mergeCell ref="G25:H25"/>
    <mergeCell ref="B26:C26"/>
    <mergeCell ref="G26:H26"/>
    <mergeCell ref="G27:H27"/>
    <mergeCell ref="B28:C28"/>
    <mergeCell ref="G28:H28"/>
    <mergeCell ref="B30:C30"/>
    <mergeCell ref="G30:H30"/>
    <mergeCell ref="B31:C31"/>
    <mergeCell ref="G31:H31"/>
    <mergeCell ref="B32:C32"/>
    <mergeCell ref="G32:H32"/>
    <mergeCell ref="B33:C33"/>
    <mergeCell ref="G33:H33"/>
    <mergeCell ref="B35:C35"/>
    <mergeCell ref="G35:H35"/>
    <mergeCell ref="B36:C36"/>
    <mergeCell ref="G36:H36"/>
    <mergeCell ref="G50:H50"/>
    <mergeCell ref="G37:H37"/>
    <mergeCell ref="G38:H38"/>
    <mergeCell ref="G39:H39"/>
    <mergeCell ref="G40:H40"/>
    <mergeCell ref="G42:H42"/>
    <mergeCell ref="G43:H43"/>
    <mergeCell ref="G44:H44"/>
    <mergeCell ref="G45:H45"/>
    <mergeCell ref="G46:H46"/>
    <mergeCell ref="G47:H47"/>
    <mergeCell ref="G48:H48"/>
    <mergeCell ref="C63:D63"/>
    <mergeCell ref="G63:H63"/>
    <mergeCell ref="C64:D64"/>
    <mergeCell ref="G64:H64"/>
    <mergeCell ref="G51:H51"/>
    <mergeCell ref="G53:H53"/>
    <mergeCell ref="G55:H55"/>
    <mergeCell ref="B60:J60"/>
    <mergeCell ref="C62:D62"/>
    <mergeCell ref="G62:H62"/>
  </mergeCells>
  <printOptions verticalCentered="1"/>
  <pageMargins left="0.70866141732283472" right="0.70866141732283472" top="0.74803149606299213" bottom="0.74803149606299213" header="0" footer="0"/>
  <pageSetup scale="59" orientation="landscape" r:id="rId1"/>
  <headerFooter>
    <oddFooter>&amp;A&amp;RPágina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C2:D19"/>
  <sheetViews>
    <sheetView showGridLines="0" topLeftCell="A4" zoomScale="130" zoomScaleNormal="130" workbookViewId="0">
      <selection activeCell="D17" sqref="D17"/>
    </sheetView>
  </sheetViews>
  <sheetFormatPr baseColWidth="10" defaultRowHeight="12" x14ac:dyDescent="0.2"/>
  <cols>
    <col min="1" max="1" width="11.42578125" style="198"/>
    <col min="2" max="2" width="8.85546875" style="198" customWidth="1"/>
    <col min="3" max="3" width="24.5703125" style="198" customWidth="1"/>
    <col min="4" max="4" width="70.7109375" style="198" customWidth="1"/>
    <col min="5" max="16384" width="11.42578125" style="198"/>
  </cols>
  <sheetData>
    <row r="2" spans="3:4" ht="36" x14ac:dyDescent="0.55000000000000004">
      <c r="C2" s="456" t="s">
        <v>1029</v>
      </c>
      <c r="D2" s="456"/>
    </row>
    <row r="3" spans="3:4" ht="31.5" x14ac:dyDescent="0.5">
      <c r="C3" s="454" t="s">
        <v>1068</v>
      </c>
      <c r="D3" s="454"/>
    </row>
    <row r="4" spans="3:4" ht="21" x14ac:dyDescent="0.2">
      <c r="C4" s="457" t="s">
        <v>3</v>
      </c>
      <c r="D4" s="457"/>
    </row>
    <row r="5" spans="3:4" x14ac:dyDescent="0.2">
      <c r="C5" s="458"/>
      <c r="D5" s="458"/>
    </row>
    <row r="6" spans="3:4" x14ac:dyDescent="0.2">
      <c r="C6" s="458"/>
      <c r="D6" s="458"/>
    </row>
    <row r="7" spans="3:4" x14ac:dyDescent="0.2">
      <c r="C7" s="458"/>
      <c r="D7" s="458"/>
    </row>
    <row r="8" spans="3:4" x14ac:dyDescent="0.2">
      <c r="C8" s="205" t="s">
        <v>830</v>
      </c>
      <c r="D8" s="286" t="s">
        <v>1085</v>
      </c>
    </row>
    <row r="9" spans="3:4" ht="6.75" customHeight="1" x14ac:dyDescent="0.2"/>
    <row r="10" spans="3:4" x14ac:dyDescent="0.2">
      <c r="C10" s="205" t="s">
        <v>831</v>
      </c>
      <c r="D10" s="286" t="s">
        <v>1086</v>
      </c>
    </row>
    <row r="11" spans="3:4" ht="6.75" customHeight="1" x14ac:dyDescent="0.2"/>
    <row r="12" spans="3:4" x14ac:dyDescent="0.2">
      <c r="C12" s="205" t="s">
        <v>832</v>
      </c>
      <c r="D12" s="286" t="s">
        <v>1087</v>
      </c>
    </row>
    <row r="13" spans="3:4" ht="6.75" customHeight="1" x14ac:dyDescent="0.2"/>
    <row r="14" spans="3:4" x14ac:dyDescent="0.2">
      <c r="C14" s="205" t="s">
        <v>833</v>
      </c>
      <c r="D14" s="286" t="s">
        <v>1088</v>
      </c>
    </row>
    <row r="15" spans="3:4" ht="6.75" customHeight="1" x14ac:dyDescent="0.2"/>
    <row r="16" spans="3:4" x14ac:dyDescent="0.2">
      <c r="C16" s="205" t="s">
        <v>834</v>
      </c>
      <c r="D16" s="286" t="s">
        <v>1089</v>
      </c>
    </row>
    <row r="17" spans="3:4" ht="7.5" customHeight="1" x14ac:dyDescent="0.2"/>
    <row r="18" spans="3:4" x14ac:dyDescent="0.2">
      <c r="C18" s="205" t="s">
        <v>1030</v>
      </c>
      <c r="D18" s="198">
        <v>12</v>
      </c>
    </row>
    <row r="19" spans="3:4" x14ac:dyDescent="0.2">
      <c r="D19" s="408"/>
    </row>
  </sheetData>
  <sheetProtection selectLockedCells="1"/>
  <mergeCells count="6">
    <mergeCell ref="C2:D2"/>
    <mergeCell ref="C3:D3"/>
    <mergeCell ref="C4:D4"/>
    <mergeCell ref="C7:D7"/>
    <mergeCell ref="C5:D5"/>
    <mergeCell ref="C6:D6"/>
  </mergeCells>
  <hyperlinks>
    <hyperlink ref="C2:D2" location="RENDICIÓN_DE_LA_CUENTA_PÚBLICA" display="RENDICIÓN DE LA CUENTA PÚBLICA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Drop Down 2">
              <controlPr locked="0" defaultSize="0" autoLine="0" autoPict="0">
                <anchor>
                  <from>
                    <xdr:col>2</xdr:col>
                    <xdr:colOff>1628775</xdr:colOff>
                    <xdr:row>16</xdr:row>
                    <xdr:rowOff>85725</xdr:rowOff>
                  </from>
                  <to>
                    <xdr:col>4</xdr:col>
                    <xdr:colOff>9525</xdr:colOff>
                    <xdr:row>18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00B050"/>
    <pageSetUpPr fitToPage="1"/>
  </sheetPr>
  <dimension ref="B1:EB72"/>
  <sheetViews>
    <sheetView topLeftCell="E40" zoomScalePageLayoutView="80" workbookViewId="0">
      <selection activeCell="B28" sqref="B28:F28"/>
    </sheetView>
  </sheetViews>
  <sheetFormatPr baseColWidth="10" defaultRowHeight="12" x14ac:dyDescent="0.2"/>
  <cols>
    <col min="1" max="1" width="1.5703125" style="22" customWidth="1"/>
    <col min="2" max="2" width="4.85546875" style="22" customWidth="1"/>
    <col min="3" max="3" width="27.5703125" style="38" customWidth="1"/>
    <col min="4" max="4" width="37.85546875" style="22" customWidth="1"/>
    <col min="5" max="6" width="21" style="22" customWidth="1"/>
    <col min="7" max="7" width="11" style="86" customWidth="1"/>
    <col min="8" max="9" width="27.5703125" style="22" customWidth="1"/>
    <col min="10" max="11" width="21" style="22" customWidth="1"/>
    <col min="12" max="12" width="4.85546875" style="23" customWidth="1"/>
    <col min="13" max="13" width="1.7109375" style="77" customWidth="1"/>
    <col min="14" max="16384" width="11.42578125" style="22"/>
  </cols>
  <sheetData>
    <row r="1" spans="2:13" ht="12" customHeight="1" x14ac:dyDescent="0.2">
      <c r="B1" s="23"/>
      <c r="C1" s="475" t="s">
        <v>0</v>
      </c>
      <c r="D1" s="475"/>
      <c r="E1" s="475"/>
      <c r="F1" s="475"/>
      <c r="G1" s="475"/>
      <c r="H1" s="475"/>
      <c r="I1" s="475"/>
      <c r="J1" s="475"/>
      <c r="K1" s="475"/>
      <c r="L1" s="475"/>
    </row>
    <row r="2" spans="2:13" ht="12" customHeight="1" x14ac:dyDescent="0.2">
      <c r="C2" s="480" t="s">
        <v>682</v>
      </c>
      <c r="D2" s="480"/>
      <c r="E2" s="480"/>
      <c r="F2" s="480"/>
      <c r="G2" s="480"/>
      <c r="H2" s="480"/>
      <c r="I2" s="480"/>
      <c r="J2" s="480"/>
      <c r="K2" s="480"/>
      <c r="L2" s="480"/>
    </row>
    <row r="3" spans="2:13" ht="12" customHeight="1" x14ac:dyDescent="0.2">
      <c r="C3" s="480" t="s">
        <v>742</v>
      </c>
      <c r="D3" s="480"/>
      <c r="E3" s="480"/>
      <c r="F3" s="480"/>
      <c r="G3" s="480"/>
      <c r="H3" s="480"/>
      <c r="I3" s="480"/>
      <c r="J3" s="480"/>
      <c r="K3" s="480"/>
      <c r="L3" s="480"/>
    </row>
    <row r="4" spans="2:13" ht="12" customHeight="1" x14ac:dyDescent="0.2">
      <c r="C4" s="481" t="s">
        <v>624</v>
      </c>
      <c r="D4" s="481"/>
      <c r="E4" s="481"/>
      <c r="F4" s="481"/>
      <c r="G4" s="481"/>
      <c r="H4" s="481"/>
      <c r="I4" s="481"/>
      <c r="J4" s="481"/>
      <c r="K4" s="481"/>
      <c r="L4" s="481"/>
    </row>
    <row r="5" spans="2:13" ht="12" customHeight="1" x14ac:dyDescent="0.2">
      <c r="B5" s="78"/>
      <c r="C5" s="26" t="s">
        <v>6</v>
      </c>
      <c r="D5" s="477" t="str">
        <f>ENTE!D8</f>
        <v>UNIDAD DE SERVICIOS PARA LA EDUCACIÓN BÁSICA EN EL ESTADO DE QUERÉTARO</v>
      </c>
      <c r="E5" s="477"/>
      <c r="F5" s="477"/>
      <c r="G5" s="477"/>
      <c r="H5" s="477"/>
      <c r="I5" s="477"/>
      <c r="J5" s="477"/>
      <c r="K5" s="477"/>
      <c r="L5" s="477"/>
    </row>
    <row r="6" spans="2:13" ht="3" customHeight="1" x14ac:dyDescent="0.2">
      <c r="B6" s="79"/>
      <c r="C6" s="79"/>
      <c r="D6" s="79"/>
      <c r="E6" s="79"/>
      <c r="F6" s="79"/>
      <c r="G6" s="80"/>
      <c r="H6" s="79"/>
      <c r="I6" s="79"/>
      <c r="J6" s="79"/>
      <c r="K6" s="79"/>
      <c r="L6" s="22"/>
      <c r="M6" s="38"/>
    </row>
    <row r="7" spans="2:13" ht="3" customHeight="1" x14ac:dyDescent="0.2">
      <c r="B7" s="79"/>
      <c r="C7" s="79"/>
      <c r="D7" s="79"/>
      <c r="E7" s="79"/>
      <c r="F7" s="79"/>
      <c r="G7" s="80"/>
      <c r="H7" s="79"/>
      <c r="I7" s="79"/>
      <c r="J7" s="79"/>
      <c r="K7" s="79"/>
    </row>
    <row r="8" spans="2:13" s="82" customFormat="1" ht="15" customHeight="1" x14ac:dyDescent="0.2">
      <c r="B8" s="536"/>
      <c r="C8" s="538" t="s">
        <v>683</v>
      </c>
      <c r="D8" s="538"/>
      <c r="E8" s="176" t="s">
        <v>684</v>
      </c>
      <c r="F8" s="176"/>
      <c r="G8" s="540"/>
      <c r="H8" s="538" t="s">
        <v>683</v>
      </c>
      <c r="I8" s="538"/>
      <c r="J8" s="176" t="s">
        <v>684</v>
      </c>
      <c r="K8" s="176"/>
      <c r="L8" s="177"/>
      <c r="M8" s="81"/>
    </row>
    <row r="9" spans="2:13" s="82" customFormat="1" ht="15" customHeight="1" x14ac:dyDescent="0.2">
      <c r="B9" s="537"/>
      <c r="C9" s="539"/>
      <c r="D9" s="539"/>
      <c r="E9" s="178">
        <v>2015</v>
      </c>
      <c r="F9" s="178">
        <v>2014</v>
      </c>
      <c r="G9" s="541"/>
      <c r="H9" s="539"/>
      <c r="I9" s="539"/>
      <c r="J9" s="178">
        <v>2015</v>
      </c>
      <c r="K9" s="178">
        <v>2014</v>
      </c>
      <c r="L9" s="179"/>
      <c r="M9" s="81"/>
    </row>
    <row r="10" spans="2:13" ht="3" customHeight="1" x14ac:dyDescent="0.2">
      <c r="B10" s="83"/>
      <c r="C10" s="79"/>
      <c r="D10" s="79"/>
      <c r="E10" s="79"/>
      <c r="F10" s="79"/>
      <c r="G10" s="80"/>
      <c r="H10" s="79"/>
      <c r="I10" s="79"/>
      <c r="J10" s="79"/>
      <c r="K10" s="79"/>
      <c r="L10" s="35"/>
      <c r="M10" s="38"/>
    </row>
    <row r="11" spans="2:13" ht="3" customHeight="1" x14ac:dyDescent="0.2">
      <c r="B11" s="83"/>
      <c r="C11" s="79"/>
      <c r="D11" s="79"/>
      <c r="E11" s="79"/>
      <c r="F11" s="79"/>
      <c r="G11" s="80"/>
      <c r="H11" s="79"/>
      <c r="I11" s="79"/>
      <c r="J11" s="79"/>
      <c r="K11" s="79"/>
      <c r="L11" s="35"/>
    </row>
    <row r="12" spans="2:13" x14ac:dyDescent="0.2">
      <c r="B12" s="84"/>
      <c r="C12" s="463" t="s">
        <v>685</v>
      </c>
      <c r="D12" s="463"/>
      <c r="E12" s="85"/>
      <c r="F12" s="47"/>
      <c r="H12" s="463" t="s">
        <v>686</v>
      </c>
      <c r="I12" s="463"/>
      <c r="J12" s="72"/>
      <c r="K12" s="72"/>
      <c r="L12" s="35"/>
    </row>
    <row r="13" spans="2:13" ht="5.0999999999999996" customHeight="1" x14ac:dyDescent="0.2">
      <c r="B13" s="84"/>
      <c r="C13" s="46"/>
      <c r="D13" s="72"/>
      <c r="E13" s="37"/>
      <c r="F13" s="37"/>
      <c r="H13" s="46"/>
      <c r="I13" s="72"/>
      <c r="J13" s="42"/>
      <c r="K13" s="42"/>
      <c r="L13" s="35"/>
    </row>
    <row r="14" spans="2:13" x14ac:dyDescent="0.2">
      <c r="B14" s="84"/>
      <c r="C14" s="468" t="s">
        <v>687</v>
      </c>
      <c r="D14" s="468"/>
      <c r="E14" s="37"/>
      <c r="F14" s="37"/>
      <c r="H14" s="468" t="s">
        <v>688</v>
      </c>
      <c r="I14" s="468"/>
      <c r="J14" s="37"/>
      <c r="K14" s="37"/>
      <c r="L14" s="35"/>
    </row>
    <row r="15" spans="2:13" s="77" customFormat="1" ht="5.0999999999999996" customHeight="1" x14ac:dyDescent="0.2">
      <c r="B15" s="84"/>
      <c r="C15" s="57"/>
      <c r="D15" s="49"/>
      <c r="E15" s="37"/>
      <c r="F15" s="37"/>
      <c r="G15" s="86"/>
      <c r="H15" s="57"/>
      <c r="I15" s="49"/>
      <c r="J15" s="37"/>
      <c r="K15" s="37"/>
      <c r="L15" s="35"/>
    </row>
    <row r="16" spans="2:13" s="77" customFormat="1" x14ac:dyDescent="0.2">
      <c r="B16" s="84"/>
      <c r="C16" s="464" t="s">
        <v>689</v>
      </c>
      <c r="D16" s="464"/>
      <c r="E16" s="37">
        <f>SUM('BALANZA COMPROBACION'!E11:E25)</f>
        <v>12381117.210000001</v>
      </c>
      <c r="F16" s="37">
        <f>SUM('BALANZA COMPROBACION'!C11:C25)</f>
        <v>30312892.309999999</v>
      </c>
      <c r="G16" s="86"/>
      <c r="H16" s="464" t="s">
        <v>690</v>
      </c>
      <c r="I16" s="464"/>
      <c r="J16" s="37">
        <f>-SUM('BALANZA COMPROBACION'!E287:E331)</f>
        <v>5967503.6400000006</v>
      </c>
      <c r="K16" s="37">
        <f>-SUM('BALANZA COMPROBACION'!C287:C331)</f>
        <v>18397000.789999999</v>
      </c>
      <c r="L16" s="35"/>
    </row>
    <row r="17" spans="2:12" s="77" customFormat="1" x14ac:dyDescent="0.2">
      <c r="B17" s="84"/>
      <c r="C17" s="464" t="s">
        <v>691</v>
      </c>
      <c r="D17" s="464"/>
      <c r="E17" s="37">
        <f>SUM('BALANZA COMPROBACION'!E26:E56)</f>
        <v>4294114.1099999994</v>
      </c>
      <c r="F17" s="37">
        <f>SUM('BALANZA COMPROBACION'!C26:C56)</f>
        <v>3865446.27</v>
      </c>
      <c r="G17" s="86"/>
      <c r="H17" s="464" t="s">
        <v>692</v>
      </c>
      <c r="I17" s="464"/>
      <c r="J17" s="37">
        <f>-SUM('BALANZA COMPROBACION'!E332:E337)</f>
        <v>3328850.88</v>
      </c>
      <c r="K17" s="37">
        <f>-SUM('BALANZA COMPROBACION'!C332:C337)</f>
        <v>5166414.04</v>
      </c>
      <c r="L17" s="35"/>
    </row>
    <row r="18" spans="2:12" s="77" customFormat="1" x14ac:dyDescent="0.2">
      <c r="B18" s="84"/>
      <c r="C18" s="464" t="s">
        <v>693</v>
      </c>
      <c r="D18" s="464"/>
      <c r="E18" s="37">
        <f>SUM('BALANZA COMPROBACION'!E57:E64)</f>
        <v>0</v>
      </c>
      <c r="F18" s="37">
        <f>SUM('BALANZA COMPROBACION'!C57:C64)</f>
        <v>0</v>
      </c>
      <c r="G18" s="86"/>
      <c r="H18" s="464" t="s">
        <v>694</v>
      </c>
      <c r="I18" s="464"/>
      <c r="J18" s="37">
        <f>-SUM('BALANZA COMPROBACION'!E338:E343)</f>
        <v>0</v>
      </c>
      <c r="K18" s="37">
        <f>-SUM('BALANZA COMPROBACION'!C338:C343)</f>
        <v>0</v>
      </c>
      <c r="L18" s="35"/>
    </row>
    <row r="19" spans="2:12" s="77" customFormat="1" x14ac:dyDescent="0.2">
      <c r="B19" s="84"/>
      <c r="C19" s="464" t="s">
        <v>695</v>
      </c>
      <c r="D19" s="464"/>
      <c r="E19" s="37">
        <f>SUM('BALANZA COMPROBACION'!E65:E93)</f>
        <v>0</v>
      </c>
      <c r="F19" s="37">
        <f>SUM('BALANZA COMPROBACION'!C65:C93)</f>
        <v>0</v>
      </c>
      <c r="G19" s="86"/>
      <c r="H19" s="464" t="s">
        <v>696</v>
      </c>
      <c r="I19" s="464"/>
      <c r="J19" s="37">
        <f>-SUM('BALANZA COMPROBACION'!E344:E345)</f>
        <v>0</v>
      </c>
      <c r="K19" s="37">
        <f>-SUM('BALANZA COMPROBACION'!C344:C345)</f>
        <v>0</v>
      </c>
      <c r="L19" s="35"/>
    </row>
    <row r="20" spans="2:12" s="77" customFormat="1" x14ac:dyDescent="0.2">
      <c r="B20" s="84"/>
      <c r="C20" s="464" t="s">
        <v>697</v>
      </c>
      <c r="D20" s="464"/>
      <c r="E20" s="37">
        <f>SUM('BALANZA COMPROBACION'!E94:E101)</f>
        <v>3437142.63</v>
      </c>
      <c r="F20" s="37">
        <f>SUM('BALANZA COMPROBACION'!C94:C101)</f>
        <v>17218314.609999999</v>
      </c>
      <c r="G20" s="86"/>
      <c r="H20" s="464" t="s">
        <v>698</v>
      </c>
      <c r="I20" s="464"/>
      <c r="J20" s="37">
        <f>-SUM('BALANZA COMPROBACION'!E346:E348)</f>
        <v>0</v>
      </c>
      <c r="K20" s="37">
        <f>-SUM('BALANZA COMPROBACION'!C346:C348)</f>
        <v>0</v>
      </c>
      <c r="L20" s="35"/>
    </row>
    <row r="21" spans="2:12" s="77" customFormat="1" ht="25.5" customHeight="1" x14ac:dyDescent="0.2">
      <c r="B21" s="84"/>
      <c r="C21" s="464" t="s">
        <v>699</v>
      </c>
      <c r="D21" s="464"/>
      <c r="E21" s="37">
        <f>SUM('BALANZA COMPROBACION'!E102:E111)</f>
        <v>0</v>
      </c>
      <c r="F21" s="37">
        <f>SUM('BALANZA COMPROBACION'!C102:C111)</f>
        <v>0</v>
      </c>
      <c r="G21" s="86"/>
      <c r="H21" s="465" t="s">
        <v>700</v>
      </c>
      <c r="I21" s="465"/>
      <c r="J21" s="37">
        <f>-SUM('BALANZA COMPROBACION'!E349:E355)</f>
        <v>0</v>
      </c>
      <c r="K21" s="37">
        <f>-SUM('BALANZA COMPROBACION'!C349:C355)</f>
        <v>0</v>
      </c>
      <c r="L21" s="35"/>
    </row>
    <row r="22" spans="2:12" s="77" customFormat="1" x14ac:dyDescent="0.2">
      <c r="B22" s="84"/>
      <c r="C22" s="464" t="s">
        <v>701</v>
      </c>
      <c r="D22" s="464"/>
      <c r="E22" s="37">
        <f>SUM('BALANZA COMPROBACION'!E112:E123)</f>
        <v>0</v>
      </c>
      <c r="F22" s="37">
        <f>SUM('BALANZA COMPROBACION'!C112:C123)</f>
        <v>0</v>
      </c>
      <c r="G22" s="86"/>
      <c r="H22" s="464" t="s">
        <v>702</v>
      </c>
      <c r="I22" s="464"/>
      <c r="J22" s="37">
        <f>-SUM('BALANZA COMPROBACION'!E356:E358)</f>
        <v>0</v>
      </c>
      <c r="K22" s="37">
        <f>-SUM('BALANZA COMPROBACION'!C356:C358)</f>
        <v>0</v>
      </c>
      <c r="L22" s="35"/>
    </row>
    <row r="23" spans="2:12" s="77" customFormat="1" x14ac:dyDescent="0.2">
      <c r="B23" s="84"/>
      <c r="C23" s="75"/>
      <c r="D23" s="87"/>
      <c r="E23" s="45"/>
      <c r="F23" s="45"/>
      <c r="G23" s="86"/>
      <c r="H23" s="464" t="s">
        <v>703</v>
      </c>
      <c r="I23" s="464"/>
      <c r="J23" s="37">
        <f>-SUM('BALANZA COMPROBACION'!E359:E361)</f>
        <v>0</v>
      </c>
      <c r="K23" s="37">
        <f>-SUM('BALANZA COMPROBACION'!C359:C361)</f>
        <v>0</v>
      </c>
      <c r="L23" s="35"/>
    </row>
    <row r="24" spans="2:12" s="77" customFormat="1" x14ac:dyDescent="0.2">
      <c r="B24" s="88"/>
      <c r="C24" s="468" t="s">
        <v>704</v>
      </c>
      <c r="D24" s="468"/>
      <c r="E24" s="42">
        <f>SUM(E16:E22)</f>
        <v>20112373.949999999</v>
      </c>
      <c r="F24" s="42">
        <f>SUM(F16:F22)</f>
        <v>51396653.189999998</v>
      </c>
      <c r="G24" s="89"/>
      <c r="H24" s="46"/>
      <c r="I24" s="72"/>
      <c r="J24" s="53"/>
      <c r="K24" s="53"/>
      <c r="L24" s="35"/>
    </row>
    <row r="25" spans="2:12" s="77" customFormat="1" x14ac:dyDescent="0.2">
      <c r="B25" s="88"/>
      <c r="C25" s="46"/>
      <c r="D25" s="90"/>
      <c r="E25" s="53"/>
      <c r="F25" s="53"/>
      <c r="G25" s="89"/>
      <c r="H25" s="468" t="s">
        <v>705</v>
      </c>
      <c r="I25" s="468"/>
      <c r="J25" s="42">
        <f>SUM(J16:J23)</f>
        <v>9296354.5199999996</v>
      </c>
      <c r="K25" s="42">
        <f>SUM(K16:K23)</f>
        <v>23563414.829999998</v>
      </c>
      <c r="L25" s="35"/>
    </row>
    <row r="26" spans="2:12" s="77" customFormat="1" x14ac:dyDescent="0.2">
      <c r="B26" s="84"/>
      <c r="C26" s="75"/>
      <c r="D26" s="75"/>
      <c r="E26" s="45"/>
      <c r="F26" s="45"/>
      <c r="G26" s="86"/>
      <c r="H26" s="91"/>
      <c r="I26" s="87"/>
      <c r="J26" s="45"/>
      <c r="K26" s="45"/>
      <c r="L26" s="35"/>
    </row>
    <row r="27" spans="2:12" s="77" customFormat="1" x14ac:dyDescent="0.2">
      <c r="B27" s="84"/>
      <c r="C27" s="468" t="s">
        <v>706</v>
      </c>
      <c r="D27" s="468"/>
      <c r="E27" s="37"/>
      <c r="F27" s="37"/>
      <c r="G27" s="86"/>
      <c r="H27" s="468" t="s">
        <v>707</v>
      </c>
      <c r="I27" s="468"/>
      <c r="J27" s="37"/>
      <c r="K27" s="37"/>
      <c r="L27" s="35"/>
    </row>
    <row r="28" spans="2:12" s="77" customFormat="1" x14ac:dyDescent="0.2">
      <c r="B28" s="84"/>
      <c r="C28" s="75"/>
      <c r="D28" s="75"/>
      <c r="E28" s="45"/>
      <c r="F28" s="45"/>
      <c r="G28" s="86"/>
      <c r="H28" s="75"/>
      <c r="I28" s="87"/>
      <c r="J28" s="45"/>
      <c r="K28" s="45"/>
      <c r="L28" s="35"/>
    </row>
    <row r="29" spans="2:12" s="77" customFormat="1" x14ac:dyDescent="0.2">
      <c r="B29" s="84"/>
      <c r="C29" s="464" t="s">
        <v>708</v>
      </c>
      <c r="D29" s="464"/>
      <c r="E29" s="37">
        <f>SUM('BALANZA COMPROBACION'!E124:E141)</f>
        <v>0</v>
      </c>
      <c r="F29" s="37">
        <f>SUM('BALANZA COMPROBACION'!C124:C141)</f>
        <v>0</v>
      </c>
      <c r="G29" s="86"/>
      <c r="H29" s="464" t="s">
        <v>709</v>
      </c>
      <c r="I29" s="464"/>
      <c r="J29" s="37">
        <f>-SUM('BALANZA COMPROBACION'!E362:E366)</f>
        <v>0</v>
      </c>
      <c r="K29" s="37">
        <f>-SUM('BALANZA COMPROBACION'!C362:C366)</f>
        <v>0</v>
      </c>
      <c r="L29" s="35"/>
    </row>
    <row r="30" spans="2:12" s="77" customFormat="1" x14ac:dyDescent="0.2">
      <c r="B30" s="84"/>
      <c r="C30" s="464" t="s">
        <v>710</v>
      </c>
      <c r="D30" s="464"/>
      <c r="E30" s="37">
        <f>SUM('BALANZA COMPROBACION'!E142:E153)</f>
        <v>0</v>
      </c>
      <c r="F30" s="37">
        <f>SUM('BALANZA COMPROBACION'!C142:C153)</f>
        <v>0</v>
      </c>
      <c r="G30" s="86"/>
      <c r="H30" s="464" t="s">
        <v>711</v>
      </c>
      <c r="I30" s="464"/>
      <c r="J30" s="37">
        <f>-SUM('BALANZA COMPROBACION'!E367:E372)</f>
        <v>0</v>
      </c>
      <c r="K30" s="37">
        <f>-SUM('BALANZA COMPROBACION'!C367:C372)</f>
        <v>0</v>
      </c>
      <c r="L30" s="35"/>
    </row>
    <row r="31" spans="2:12" s="77" customFormat="1" x14ac:dyDescent="0.2">
      <c r="B31" s="84"/>
      <c r="C31" s="464" t="s">
        <v>712</v>
      </c>
      <c r="D31" s="464"/>
      <c r="E31" s="37">
        <f>SUM('BALANZA COMPROBACION'!E154:E182)</f>
        <v>449709044.76999998</v>
      </c>
      <c r="F31" s="37">
        <f>SUM('BALANZA COMPROBACION'!C154:C183)</f>
        <v>518789618.64999998</v>
      </c>
      <c r="G31" s="86"/>
      <c r="H31" s="464" t="s">
        <v>713</v>
      </c>
      <c r="I31" s="464"/>
      <c r="J31" s="37">
        <f>-SUM('BALANZA COMPROBACION'!E373:E378)</f>
        <v>0</v>
      </c>
      <c r="K31" s="37">
        <f>-SUM('BALANZA COMPROBACION'!C373:C378)</f>
        <v>0</v>
      </c>
      <c r="L31" s="35"/>
    </row>
    <row r="32" spans="2:12" s="77" customFormat="1" x14ac:dyDescent="0.2">
      <c r="B32" s="84"/>
      <c r="C32" s="464" t="s">
        <v>714</v>
      </c>
      <c r="D32" s="464"/>
      <c r="E32" s="37">
        <f>SUM('BALANZA COMPROBACION'!E183:E218)</f>
        <v>584033752.55999982</v>
      </c>
      <c r="F32" s="37">
        <f>SUM('BALANZA COMPROBACION'!C184:C218)</f>
        <v>555913984.13999999</v>
      </c>
      <c r="G32" s="86"/>
      <c r="H32" s="464" t="s">
        <v>715</v>
      </c>
      <c r="I32" s="464"/>
      <c r="J32" s="37">
        <f>-SUM('BALANZA COMPROBACION'!E379:E381)</f>
        <v>0</v>
      </c>
      <c r="K32" s="37">
        <f>-SUM('BALANZA COMPROBACION'!C379:C381)</f>
        <v>0</v>
      </c>
      <c r="L32" s="35"/>
    </row>
    <row r="33" spans="2:12" s="77" customFormat="1" ht="26.25" customHeight="1" x14ac:dyDescent="0.2">
      <c r="B33" s="84"/>
      <c r="C33" s="464" t="s">
        <v>716</v>
      </c>
      <c r="D33" s="464"/>
      <c r="E33" s="37">
        <f>SUM('BALANZA COMPROBACION'!E219:E227)</f>
        <v>17986777.350000001</v>
      </c>
      <c r="F33" s="37">
        <f>SUM('BALANZA COMPROBACION'!C219:C227)</f>
        <v>8911994.6300000008</v>
      </c>
      <c r="G33" s="86"/>
      <c r="H33" s="465" t="s">
        <v>717</v>
      </c>
      <c r="I33" s="465"/>
      <c r="J33" s="37">
        <f>-SUM('BALANZA COMPROBACION'!E382:E388)</f>
        <v>0</v>
      </c>
      <c r="K33" s="37">
        <f>-SUM('BALANZA COMPROBACION'!C382:C388)</f>
        <v>0</v>
      </c>
      <c r="L33" s="35"/>
    </row>
    <row r="34" spans="2:12" s="77" customFormat="1" x14ac:dyDescent="0.2">
      <c r="B34" s="84"/>
      <c r="C34" s="464" t="s">
        <v>718</v>
      </c>
      <c r="D34" s="464"/>
      <c r="E34" s="37">
        <f>SUM('BALANZA COMPROBACION'!E228:E259)</f>
        <v>-182533410.93000001</v>
      </c>
      <c r="F34" s="37">
        <f>SUM('BALANZA COMPROBACION'!C228:C259)</f>
        <v>-131828194.69</v>
      </c>
      <c r="G34" s="86"/>
      <c r="H34" s="464" t="s">
        <v>719</v>
      </c>
      <c r="I34" s="464"/>
      <c r="J34" s="37">
        <f>-SUM('BALANZA COMPROBACION'!E389:E392)</f>
        <v>0</v>
      </c>
      <c r="K34" s="37">
        <f>-SUM('BALANZA COMPROBACION'!C389:C392)</f>
        <v>0</v>
      </c>
      <c r="L34" s="35"/>
    </row>
    <row r="35" spans="2:12" s="77" customFormat="1" x14ac:dyDescent="0.2">
      <c r="B35" s="84"/>
      <c r="C35" s="464" t="s">
        <v>720</v>
      </c>
      <c r="D35" s="464"/>
      <c r="E35" s="37">
        <f>SUM('BALANZA COMPROBACION'!E260:E269)</f>
        <v>0</v>
      </c>
      <c r="F35" s="37">
        <f>SUM('BALANZA COMPROBACION'!C260:C269)</f>
        <v>1000000</v>
      </c>
      <c r="G35" s="86"/>
      <c r="H35" s="75"/>
      <c r="I35" s="87"/>
      <c r="J35" s="45"/>
      <c r="K35" s="45"/>
      <c r="L35" s="35"/>
    </row>
    <row r="36" spans="2:12" s="77" customFormat="1" x14ac:dyDescent="0.2">
      <c r="B36" s="84"/>
      <c r="C36" s="464" t="s">
        <v>721</v>
      </c>
      <c r="D36" s="464"/>
      <c r="E36" s="37">
        <f>SUM('BALANZA COMPROBACION'!E270:E281)</f>
        <v>0</v>
      </c>
      <c r="F36" s="37">
        <f>SUM('BALANZA COMPROBACION'!C270:C281)</f>
        <v>0</v>
      </c>
      <c r="G36" s="86"/>
      <c r="H36" s="468" t="s">
        <v>722</v>
      </c>
      <c r="I36" s="468"/>
      <c r="J36" s="42">
        <f>SUM(J29:J34)</f>
        <v>0</v>
      </c>
      <c r="K36" s="42">
        <f>SUM(K29:K34)</f>
        <v>0</v>
      </c>
      <c r="L36" s="35"/>
    </row>
    <row r="37" spans="2:12" s="77" customFormat="1" x14ac:dyDescent="0.2">
      <c r="B37" s="84"/>
      <c r="C37" s="464" t="s">
        <v>723</v>
      </c>
      <c r="D37" s="464"/>
      <c r="E37" s="37">
        <f>SUM('BALANZA COMPROBACION'!E282:E286)</f>
        <v>0</v>
      </c>
      <c r="F37" s="37">
        <f>SUM('BALANZA COMPROBACION'!C282:C286)</f>
        <v>0</v>
      </c>
      <c r="G37" s="86"/>
      <c r="H37" s="46"/>
      <c r="I37" s="90"/>
      <c r="J37" s="53"/>
      <c r="K37" s="53"/>
      <c r="L37" s="35"/>
    </row>
    <row r="38" spans="2:12" s="77" customFormat="1" x14ac:dyDescent="0.2">
      <c r="B38" s="84"/>
      <c r="C38" s="75"/>
      <c r="D38" s="87"/>
      <c r="E38" s="45"/>
      <c r="F38" s="45"/>
      <c r="G38" s="86"/>
      <c r="H38" s="468" t="s">
        <v>724</v>
      </c>
      <c r="I38" s="468"/>
      <c r="J38" s="42">
        <f>J25+J36</f>
        <v>9296354.5199999996</v>
      </c>
      <c r="K38" s="42">
        <f>K25+K36</f>
        <v>23563414.829999998</v>
      </c>
      <c r="L38" s="35"/>
    </row>
    <row r="39" spans="2:12" s="77" customFormat="1" x14ac:dyDescent="0.2">
      <c r="B39" s="88"/>
      <c r="C39" s="468" t="s">
        <v>725</v>
      </c>
      <c r="D39" s="468"/>
      <c r="E39" s="42">
        <f>SUM(E29:E37)</f>
        <v>869196163.74999976</v>
      </c>
      <c r="F39" s="42">
        <f>SUM(F29:F37)</f>
        <v>952787402.73000002</v>
      </c>
      <c r="G39" s="89"/>
      <c r="H39" s="46"/>
      <c r="I39" s="92"/>
      <c r="J39" s="53"/>
      <c r="K39" s="53"/>
      <c r="L39" s="35"/>
    </row>
    <row r="40" spans="2:12" s="77" customFormat="1" x14ac:dyDescent="0.2">
      <c r="B40" s="84"/>
      <c r="C40" s="75"/>
      <c r="D40" s="46"/>
      <c r="E40" s="45"/>
      <c r="F40" s="45"/>
      <c r="G40" s="86"/>
      <c r="H40" s="463" t="s">
        <v>726</v>
      </c>
      <c r="I40" s="463"/>
      <c r="J40" s="45"/>
      <c r="K40" s="45"/>
      <c r="L40" s="35"/>
    </row>
    <row r="41" spans="2:12" s="77" customFormat="1" x14ac:dyDescent="0.2">
      <c r="B41" s="84"/>
      <c r="C41" s="468" t="s">
        <v>727</v>
      </c>
      <c r="D41" s="468"/>
      <c r="E41" s="42">
        <f>E24+E39</f>
        <v>889308537.69999981</v>
      </c>
      <c r="F41" s="42">
        <f>F24+F39</f>
        <v>1004184055.9200001</v>
      </c>
      <c r="G41" s="86"/>
      <c r="H41" s="46"/>
      <c r="I41" s="92"/>
      <c r="J41" s="45"/>
      <c r="K41" s="45"/>
      <c r="L41" s="35"/>
    </row>
    <row r="42" spans="2:12" s="77" customFormat="1" x14ac:dyDescent="0.2">
      <c r="B42" s="84"/>
      <c r="C42" s="75"/>
      <c r="D42" s="75"/>
      <c r="E42" s="45"/>
      <c r="F42" s="45"/>
      <c r="G42" s="86"/>
      <c r="H42" s="468" t="s">
        <v>728</v>
      </c>
      <c r="I42" s="468"/>
      <c r="J42" s="42">
        <f>SUM(J44:J46)</f>
        <v>28138858.09</v>
      </c>
      <c r="K42" s="42">
        <f>SUM(K44:K46)</f>
        <v>7038980</v>
      </c>
      <c r="L42" s="35"/>
    </row>
    <row r="43" spans="2:12" s="77" customFormat="1" x14ac:dyDescent="0.2">
      <c r="B43" s="84"/>
      <c r="C43" s="75"/>
      <c r="D43" s="75"/>
      <c r="E43" s="45"/>
      <c r="F43" s="45"/>
      <c r="G43" s="86"/>
      <c r="H43" s="75"/>
      <c r="I43" s="47"/>
      <c r="J43" s="45"/>
      <c r="K43" s="45"/>
      <c r="L43" s="35"/>
    </row>
    <row r="44" spans="2:12" s="77" customFormat="1" x14ac:dyDescent="0.2">
      <c r="B44" s="84"/>
      <c r="C44" s="75"/>
      <c r="D44" s="75"/>
      <c r="E44" s="45"/>
      <c r="F44" s="45"/>
      <c r="G44" s="86"/>
      <c r="H44" s="464" t="s">
        <v>660</v>
      </c>
      <c r="I44" s="464"/>
      <c r="J44" s="37">
        <f>-SUM('BALANZA COMPROBACION'!E393:E397)</f>
        <v>0</v>
      </c>
      <c r="K44" s="37">
        <f>-SUM('BALANZA COMPROBACION'!C393:C397)</f>
        <v>0</v>
      </c>
      <c r="L44" s="35"/>
    </row>
    <row r="45" spans="2:12" s="77" customFormat="1" ht="12" customHeight="1" x14ac:dyDescent="0.2">
      <c r="B45" s="84"/>
      <c r="C45" s="21" t="str">
        <f>IF(F41=K63," ","ERROR EN SUMA DE ACTIVOS - PASIVO Y PATRIMONIO DEL 2016 POR "&amp;F41-K63)</f>
        <v xml:space="preserve"> </v>
      </c>
      <c r="D45" s="22"/>
      <c r="E45" s="93"/>
      <c r="F45" s="45"/>
      <c r="G45" s="86"/>
      <c r="H45" s="464" t="s">
        <v>729</v>
      </c>
      <c r="I45" s="464"/>
      <c r="J45" s="37">
        <f>-SUM('BALANZA COMPROBACION'!E398:E401)</f>
        <v>28138858.09</v>
      </c>
      <c r="K45" s="37">
        <f>-SUM('BALANZA COMPROBACION'!C398:C401)</f>
        <v>7038980</v>
      </c>
      <c r="L45" s="35"/>
    </row>
    <row r="46" spans="2:12" s="77" customFormat="1" ht="12" customHeight="1" x14ac:dyDescent="0.2">
      <c r="B46" s="84"/>
      <c r="C46" s="21" t="str">
        <f>IF(E41=J63," ","ERROR EN SUMA DE ACTIVOS - PASIVO Y PATRIMONIO DEL 2015 POR "&amp;E41-J63)</f>
        <v>ERROR EN SUMA DE ACTIVOS - PASIVO Y PATRIMONIO DEL 2015 POR 1.43051147460937E-06</v>
      </c>
      <c r="D46" s="22"/>
      <c r="E46" s="93"/>
      <c r="F46" s="45"/>
      <c r="G46" s="86"/>
      <c r="H46" s="464" t="s">
        <v>730</v>
      </c>
      <c r="I46" s="464"/>
      <c r="J46" s="37">
        <f>-SUM('BALANZA COMPROBACION'!E402:E405)</f>
        <v>0</v>
      </c>
      <c r="K46" s="37">
        <f>-SUM('BALANZA COMPROBACION'!C402:C405)</f>
        <v>0</v>
      </c>
      <c r="L46" s="35"/>
    </row>
    <row r="47" spans="2:12" ht="12" customHeight="1" x14ac:dyDescent="0.2">
      <c r="B47" s="84"/>
      <c r="C47" s="75"/>
      <c r="D47" s="93"/>
      <c r="E47" s="93"/>
      <c r="F47" s="45"/>
      <c r="H47" s="75"/>
      <c r="I47" s="47"/>
      <c r="J47" s="45"/>
      <c r="K47" s="45"/>
      <c r="L47" s="35"/>
    </row>
    <row r="48" spans="2:12" ht="12.75" customHeight="1" x14ac:dyDescent="0.2">
      <c r="B48" s="84"/>
      <c r="C48" s="75"/>
      <c r="D48" s="93"/>
      <c r="E48" s="93"/>
      <c r="F48" s="45"/>
      <c r="H48" s="468" t="s">
        <v>731</v>
      </c>
      <c r="I48" s="468"/>
      <c r="J48" s="42">
        <f>SUM(J50:J54)</f>
        <v>851873325.08999836</v>
      </c>
      <c r="K48" s="42">
        <f>SUM(K50:K54)</f>
        <v>973581661.08999884</v>
      </c>
      <c r="L48" s="35"/>
    </row>
    <row r="49" spans="2:132" ht="12.75" customHeight="1" x14ac:dyDescent="0.2">
      <c r="B49" s="84"/>
      <c r="C49" s="75"/>
      <c r="D49" s="93"/>
      <c r="E49" s="93"/>
      <c r="F49" s="45"/>
      <c r="H49" s="46"/>
      <c r="I49" s="47"/>
      <c r="J49" s="94"/>
      <c r="K49" s="94"/>
      <c r="L49" s="35"/>
    </row>
    <row r="50" spans="2:132" ht="12" customHeight="1" x14ac:dyDescent="0.2">
      <c r="B50" s="84"/>
      <c r="C50" s="75"/>
      <c r="D50" s="93"/>
      <c r="E50" s="93"/>
      <c r="F50" s="45"/>
      <c r="H50" s="464" t="s">
        <v>732</v>
      </c>
      <c r="I50" s="464"/>
      <c r="J50" s="37">
        <f>'EA (2)'!I55</f>
        <v>-84504930.86000061</v>
      </c>
      <c r="K50" s="37">
        <f>'EA (2)'!J55</f>
        <v>-10302823.550001144</v>
      </c>
      <c r="L50" s="35"/>
    </row>
    <row r="51" spans="2:132" ht="12" customHeight="1" x14ac:dyDescent="0.2">
      <c r="B51" s="84"/>
      <c r="C51" s="75"/>
      <c r="D51" s="93"/>
      <c r="E51" s="93"/>
      <c r="F51" s="45"/>
      <c r="H51" s="464" t="s">
        <v>733</v>
      </c>
      <c r="I51" s="464"/>
      <c r="J51" s="37">
        <f>-SUM('BALANZA COMPROBACION'!E407)</f>
        <v>936378255.94999897</v>
      </c>
      <c r="K51" s="37">
        <f>-SUM('BALANZA COMPROBACION'!C407)</f>
        <v>983884484.63999999</v>
      </c>
      <c r="L51" s="35"/>
      <c r="EB51" s="67"/>
    </row>
    <row r="52" spans="2:132" ht="12" customHeight="1" x14ac:dyDescent="0.2">
      <c r="B52" s="84"/>
      <c r="C52" s="75"/>
      <c r="D52" s="93"/>
      <c r="E52" s="93"/>
      <c r="F52" s="45"/>
      <c r="H52" s="464" t="s">
        <v>734</v>
      </c>
      <c r="I52" s="464"/>
      <c r="J52" s="37">
        <f>-SUM('BALANZA COMPROBACION'!E408:E411)</f>
        <v>0</v>
      </c>
      <c r="K52" s="37">
        <f>-SUM('BALANZA COMPROBACION'!C408:C411)</f>
        <v>0</v>
      </c>
      <c r="L52" s="35"/>
    </row>
    <row r="53" spans="2:132" x14ac:dyDescent="0.2">
      <c r="B53" s="84"/>
      <c r="C53" s="75"/>
      <c r="D53" s="75"/>
      <c r="E53" s="45"/>
      <c r="F53" s="45"/>
      <c r="H53" s="464" t="s">
        <v>735</v>
      </c>
      <c r="I53" s="464"/>
      <c r="J53" s="37">
        <f>-SUM('BALANZA COMPROBACION'!E412:E414)</f>
        <v>0</v>
      </c>
      <c r="K53" s="37">
        <f>-SUM('BALANZA COMPROBACION'!C412:C414)</f>
        <v>0</v>
      </c>
      <c r="L53" s="35"/>
    </row>
    <row r="54" spans="2:132" x14ac:dyDescent="0.2">
      <c r="B54" s="84"/>
      <c r="C54" s="75"/>
      <c r="D54" s="75"/>
      <c r="E54" s="45"/>
      <c r="F54" s="45"/>
      <c r="H54" s="464" t="s">
        <v>736</v>
      </c>
      <c r="I54" s="464"/>
      <c r="J54" s="37">
        <f>-SUM('BALANZA COMPROBACION'!E415:E416)</f>
        <v>0</v>
      </c>
      <c r="K54" s="37">
        <f>-SUM('BALANZA COMPROBACION'!C415:C416)</f>
        <v>0</v>
      </c>
      <c r="L54" s="35"/>
    </row>
    <row r="55" spans="2:132" x14ac:dyDescent="0.2">
      <c r="B55" s="84"/>
      <c r="C55" s="75"/>
      <c r="D55" s="75"/>
      <c r="E55" s="45"/>
      <c r="F55" s="45"/>
      <c r="H55" s="75"/>
      <c r="I55" s="47"/>
      <c r="J55" s="45"/>
      <c r="K55" s="45"/>
      <c r="L55" s="35"/>
    </row>
    <row r="56" spans="2:132" ht="25.5" customHeight="1" x14ac:dyDescent="0.2">
      <c r="B56" s="84"/>
      <c r="C56" s="75"/>
      <c r="D56" s="75"/>
      <c r="E56" s="45"/>
      <c r="F56" s="45"/>
      <c r="H56" s="468" t="s">
        <v>737</v>
      </c>
      <c r="I56" s="468"/>
      <c r="J56" s="42">
        <f>SUM(J58:J59)</f>
        <v>0</v>
      </c>
      <c r="K56" s="42">
        <f>SUM(K58:K59)</f>
        <v>0</v>
      </c>
      <c r="L56" s="35"/>
    </row>
    <row r="57" spans="2:132" x14ac:dyDescent="0.2">
      <c r="B57" s="84"/>
      <c r="C57" s="75"/>
      <c r="D57" s="75"/>
      <c r="E57" s="45"/>
      <c r="F57" s="45"/>
      <c r="H57" s="75"/>
      <c r="I57" s="47"/>
      <c r="J57" s="45"/>
      <c r="K57" s="45"/>
      <c r="L57" s="35"/>
    </row>
    <row r="58" spans="2:132" x14ac:dyDescent="0.2">
      <c r="B58" s="84"/>
      <c r="C58" s="75"/>
      <c r="D58" s="75"/>
      <c r="E58" s="45"/>
      <c r="F58" s="45"/>
      <c r="H58" s="464" t="s">
        <v>738</v>
      </c>
      <c r="I58" s="464"/>
      <c r="J58" s="37">
        <f>-SUM('BALANZA COMPROBACION'!E417)</f>
        <v>0</v>
      </c>
      <c r="K58" s="37">
        <f>-SUM('BALANZA COMPROBACION'!C417)</f>
        <v>0</v>
      </c>
      <c r="L58" s="35"/>
    </row>
    <row r="59" spans="2:132" x14ac:dyDescent="0.2">
      <c r="B59" s="84"/>
      <c r="C59" s="75"/>
      <c r="D59" s="75"/>
      <c r="E59" s="45"/>
      <c r="F59" s="45"/>
      <c r="H59" s="464" t="s">
        <v>739</v>
      </c>
      <c r="I59" s="464"/>
      <c r="J59" s="37">
        <f>-SUM('BALANZA COMPROBACION'!E418)</f>
        <v>0</v>
      </c>
      <c r="K59" s="37">
        <f>-SUM('BALANZA COMPROBACION'!C418)</f>
        <v>0</v>
      </c>
      <c r="L59" s="35"/>
    </row>
    <row r="60" spans="2:132" ht="9.9499999999999993" customHeight="1" x14ac:dyDescent="0.2">
      <c r="B60" s="84"/>
      <c r="C60" s="75"/>
      <c r="D60" s="95"/>
      <c r="E60" s="45"/>
      <c r="F60" s="45"/>
      <c r="H60" s="75"/>
      <c r="I60" s="96"/>
      <c r="J60" s="45"/>
      <c r="K60" s="45"/>
      <c r="L60" s="35"/>
    </row>
    <row r="61" spans="2:132" x14ac:dyDescent="0.2">
      <c r="B61" s="84"/>
      <c r="C61" s="75"/>
      <c r="D61" s="75"/>
      <c r="E61" s="45"/>
      <c r="F61" s="45"/>
      <c r="H61" s="468" t="s">
        <v>740</v>
      </c>
      <c r="I61" s="468"/>
      <c r="J61" s="42">
        <f>J42+J48+J56</f>
        <v>880012183.1799984</v>
      </c>
      <c r="K61" s="42">
        <f>K42+K48+K56</f>
        <v>980620641.08999884</v>
      </c>
      <c r="L61" s="35"/>
    </row>
    <row r="62" spans="2:132" ht="9.9499999999999993" customHeight="1" x14ac:dyDescent="0.2">
      <c r="B62" s="84"/>
      <c r="C62" s="75"/>
      <c r="D62" s="75"/>
      <c r="E62" s="45"/>
      <c r="F62" s="45"/>
      <c r="H62" s="75"/>
      <c r="I62" s="47"/>
      <c r="J62" s="45"/>
      <c r="K62" s="45"/>
      <c r="L62" s="35"/>
    </row>
    <row r="63" spans="2:132" s="77" customFormat="1" x14ac:dyDescent="0.2">
      <c r="B63" s="84"/>
      <c r="C63" s="75"/>
      <c r="D63" s="75"/>
      <c r="E63" s="45"/>
      <c r="F63" s="45"/>
      <c r="G63" s="86"/>
      <c r="H63" s="468" t="s">
        <v>741</v>
      </c>
      <c r="I63" s="468"/>
      <c r="J63" s="42">
        <f>J38+J61</f>
        <v>889308537.69999838</v>
      </c>
      <c r="K63" s="42">
        <f>K38+K61</f>
        <v>1004184055.9199989</v>
      </c>
      <c r="L63" s="35"/>
    </row>
    <row r="64" spans="2:132" s="77" customFormat="1" ht="6" customHeight="1" x14ac:dyDescent="0.2">
      <c r="B64" s="97"/>
      <c r="C64" s="98"/>
      <c r="D64" s="98"/>
      <c r="E64" s="98"/>
      <c r="F64" s="98"/>
      <c r="G64" s="99"/>
      <c r="H64" s="98"/>
      <c r="I64" s="98"/>
      <c r="J64" s="98"/>
      <c r="K64" s="98"/>
      <c r="L64" s="61"/>
    </row>
    <row r="65" spans="2:12" s="77" customFormat="1" ht="6" customHeight="1" x14ac:dyDescent="0.2">
      <c r="B65" s="22"/>
      <c r="C65" s="47"/>
      <c r="D65" s="67"/>
      <c r="E65" s="68"/>
      <c r="F65" s="68"/>
      <c r="G65" s="86"/>
      <c r="H65" s="69"/>
      <c r="I65" s="67"/>
      <c r="J65" s="68"/>
      <c r="K65" s="68"/>
      <c r="L65" s="23"/>
    </row>
    <row r="66" spans="2:12" s="77" customFormat="1" ht="6" customHeight="1" x14ac:dyDescent="0.2">
      <c r="B66" s="59"/>
      <c r="C66" s="62"/>
      <c r="D66" s="63"/>
      <c r="E66" s="64"/>
      <c r="F66" s="64"/>
      <c r="G66" s="99"/>
      <c r="H66" s="65"/>
      <c r="I66" s="63"/>
      <c r="J66" s="64"/>
      <c r="K66" s="64"/>
      <c r="L66" s="23"/>
    </row>
    <row r="67" spans="2:12" s="77" customFormat="1" ht="6" customHeight="1" x14ac:dyDescent="0.2">
      <c r="B67" s="22"/>
      <c r="C67" s="47"/>
      <c r="D67" s="67"/>
      <c r="E67" s="68"/>
      <c r="F67" s="68"/>
      <c r="G67" s="86"/>
      <c r="H67" s="69"/>
      <c r="I67" s="67"/>
      <c r="J67" s="68"/>
      <c r="K67" s="68"/>
      <c r="L67" s="23"/>
    </row>
    <row r="68" spans="2:12" s="77" customFormat="1" ht="15" customHeight="1" x14ac:dyDescent="0.2">
      <c r="B68" s="22"/>
      <c r="C68" s="470" t="s">
        <v>681</v>
      </c>
      <c r="D68" s="470"/>
      <c r="E68" s="470"/>
      <c r="F68" s="470"/>
      <c r="G68" s="470"/>
      <c r="H68" s="470"/>
      <c r="I68" s="470"/>
      <c r="J68" s="470"/>
      <c r="K68" s="470"/>
      <c r="L68" s="23"/>
    </row>
    <row r="69" spans="2:12" s="77" customFormat="1" ht="9.75" customHeight="1" x14ac:dyDescent="0.2">
      <c r="B69" s="22"/>
      <c r="C69" s="47"/>
      <c r="D69" s="67"/>
      <c r="E69" s="68"/>
      <c r="F69" s="68"/>
      <c r="G69" s="86"/>
      <c r="H69" s="69"/>
      <c r="I69" s="67"/>
      <c r="J69" s="68"/>
      <c r="K69" s="68"/>
      <c r="L69" s="23"/>
    </row>
    <row r="70" spans="2:12" s="77" customFormat="1" ht="50.1" customHeight="1" x14ac:dyDescent="0.2">
      <c r="B70" s="22"/>
      <c r="C70" s="47"/>
      <c r="D70" s="471"/>
      <c r="E70" s="471"/>
      <c r="F70" s="68"/>
      <c r="G70" s="86"/>
      <c r="H70" s="472"/>
      <c r="I70" s="472"/>
      <c r="J70" s="68"/>
      <c r="K70" s="68"/>
      <c r="L70" s="23"/>
    </row>
    <row r="71" spans="2:12" s="77" customFormat="1" ht="14.1" customHeight="1" x14ac:dyDescent="0.2">
      <c r="B71" s="22"/>
      <c r="C71" s="71"/>
      <c r="D71" s="466">
        <f>ENTE!D20</f>
        <v>0</v>
      </c>
      <c r="E71" s="466"/>
      <c r="F71" s="68"/>
      <c r="G71" s="100"/>
      <c r="H71" s="466">
        <f>ENTE!D24</f>
        <v>0</v>
      </c>
      <c r="I71" s="466"/>
      <c r="J71" s="72"/>
      <c r="K71" s="68"/>
      <c r="L71" s="23"/>
    </row>
    <row r="72" spans="2:12" s="77" customFormat="1" ht="14.1" customHeight="1" x14ac:dyDescent="0.2">
      <c r="B72" s="22"/>
      <c r="C72" s="73"/>
      <c r="D72" s="467">
        <f>ENTE!D22</f>
        <v>0</v>
      </c>
      <c r="E72" s="467"/>
      <c r="F72" s="74"/>
      <c r="G72" s="100"/>
      <c r="H72" s="467">
        <f>ENTE!D26</f>
        <v>0</v>
      </c>
      <c r="I72" s="467"/>
      <c r="J72" s="72"/>
      <c r="K72" s="68"/>
      <c r="L72" s="23"/>
    </row>
  </sheetData>
  <sheetProtection selectLockedCells="1"/>
  <mergeCells count="74">
    <mergeCell ref="C4:L4"/>
    <mergeCell ref="D5:L5"/>
    <mergeCell ref="C1:L1"/>
    <mergeCell ref="C2:L2"/>
    <mergeCell ref="C3:L3"/>
    <mergeCell ref="B8:B9"/>
    <mergeCell ref="C8:D9"/>
    <mergeCell ref="G8:G9"/>
    <mergeCell ref="H8:I9"/>
    <mergeCell ref="C14:D14"/>
    <mergeCell ref="H14:I14"/>
    <mergeCell ref="C12:D12"/>
    <mergeCell ref="H12:I12"/>
    <mergeCell ref="C16:D16"/>
    <mergeCell ref="H16:I16"/>
    <mergeCell ref="C17:D17"/>
    <mergeCell ref="H17:I17"/>
    <mergeCell ref="C18:D18"/>
    <mergeCell ref="H18:I18"/>
    <mergeCell ref="C19:D19"/>
    <mergeCell ref="H19:I19"/>
    <mergeCell ref="C20:D20"/>
    <mergeCell ref="H20:I20"/>
    <mergeCell ref="C30:D30"/>
    <mergeCell ref="H30:I30"/>
    <mergeCell ref="C21:D21"/>
    <mergeCell ref="H21:I21"/>
    <mergeCell ref="C22:D22"/>
    <mergeCell ref="H22:I22"/>
    <mergeCell ref="H23:I23"/>
    <mergeCell ref="C24:D24"/>
    <mergeCell ref="H25:I25"/>
    <mergeCell ref="C27:D27"/>
    <mergeCell ref="H27:I27"/>
    <mergeCell ref="C29:D29"/>
    <mergeCell ref="H29:I29"/>
    <mergeCell ref="C31:D31"/>
    <mergeCell ref="H31:I31"/>
    <mergeCell ref="C32:D32"/>
    <mergeCell ref="H32:I32"/>
    <mergeCell ref="C33:D33"/>
    <mergeCell ref="H33:I33"/>
    <mergeCell ref="H44:I44"/>
    <mergeCell ref="C34:D34"/>
    <mergeCell ref="H34:I34"/>
    <mergeCell ref="C35:D35"/>
    <mergeCell ref="C36:D36"/>
    <mergeCell ref="H36:I36"/>
    <mergeCell ref="C37:D37"/>
    <mergeCell ref="H38:I38"/>
    <mergeCell ref="C39:D39"/>
    <mergeCell ref="H40:I40"/>
    <mergeCell ref="C41:D41"/>
    <mergeCell ref="H42:I42"/>
    <mergeCell ref="H61:I61"/>
    <mergeCell ref="H45:I45"/>
    <mergeCell ref="H46:I46"/>
    <mergeCell ref="H48:I48"/>
    <mergeCell ref="H50:I50"/>
    <mergeCell ref="H51:I51"/>
    <mergeCell ref="H52:I52"/>
    <mergeCell ref="H53:I53"/>
    <mergeCell ref="H54:I54"/>
    <mergeCell ref="H56:I56"/>
    <mergeCell ref="H58:I58"/>
    <mergeCell ref="H59:I59"/>
    <mergeCell ref="D72:E72"/>
    <mergeCell ref="H72:I72"/>
    <mergeCell ref="H63:I63"/>
    <mergeCell ref="C68:K68"/>
    <mergeCell ref="D70:E70"/>
    <mergeCell ref="H70:I70"/>
    <mergeCell ref="D71:E71"/>
    <mergeCell ref="H71:I71"/>
  </mergeCells>
  <conditionalFormatting sqref="E45:E52 D47:D52">
    <cfRule type="expression" dxfId="1" priority="1">
      <formula>$F$41&lt;&gt;$K$63</formula>
    </cfRule>
    <cfRule type="expression" dxfId="0" priority="2">
      <formula>$E$41&lt;&gt;$J$63</formula>
    </cfRule>
  </conditionalFormatting>
  <printOptions horizontalCentered="1" verticalCentered="1"/>
  <pageMargins left="0.70866141732283472" right="0.70866141732283472" top="0.74803149606299213" bottom="0.74803149606299213" header="0" footer="0"/>
  <pageSetup scale="54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B050"/>
    <pageSetUpPr fitToPage="1"/>
  </sheetPr>
  <dimension ref="B2:M63"/>
  <sheetViews>
    <sheetView showGridLines="0" view="pageBreakPreview" topLeftCell="D34" zoomScaleNormal="85" zoomScaleSheetLayoutView="100" zoomScalePageLayoutView="80" workbookViewId="0">
      <selection activeCell="J49" sqref="J49"/>
    </sheetView>
  </sheetViews>
  <sheetFormatPr baseColWidth="10" defaultRowHeight="12" x14ac:dyDescent="0.2"/>
  <cols>
    <col min="1" max="1" width="1.85546875" style="23" customWidth="1"/>
    <col min="2" max="2" width="4.5703125" style="23" customWidth="1"/>
    <col min="3" max="3" width="24.7109375" style="23" customWidth="1"/>
    <col min="4" max="4" width="29.85546875" style="23" customWidth="1"/>
    <col min="5" max="5" width="15.7109375" style="23" customWidth="1"/>
    <col min="6" max="6" width="15.42578125" style="23" customWidth="1"/>
    <col min="7" max="7" width="10.7109375" style="23" customWidth="1"/>
    <col min="8" max="8" width="24.7109375" style="23" customWidth="1"/>
    <col min="9" max="9" width="29.7109375" style="103" customWidth="1"/>
    <col min="10" max="11" width="18.7109375" style="23" customWidth="1"/>
    <col min="12" max="12" width="4.5703125" style="23" customWidth="1"/>
    <col min="13" max="13" width="2" style="23" customWidth="1"/>
    <col min="14" max="16384" width="11.42578125" style="23"/>
  </cols>
  <sheetData>
    <row r="2" spans="2:13" ht="12" customHeight="1" x14ac:dyDescent="0.2">
      <c r="B2" s="206"/>
      <c r="C2" s="499" t="s">
        <v>844</v>
      </c>
      <c r="D2" s="499"/>
      <c r="E2" s="499"/>
      <c r="F2" s="499"/>
      <c r="G2" s="499"/>
      <c r="H2" s="499"/>
      <c r="I2" s="499"/>
      <c r="J2" s="499"/>
      <c r="K2" s="499"/>
      <c r="L2" s="499"/>
      <c r="M2" s="206"/>
    </row>
    <row r="3" spans="2:13" ht="12" customHeight="1" x14ac:dyDescent="0.2">
      <c r="B3" s="101"/>
      <c r="C3" s="475" t="s">
        <v>743</v>
      </c>
      <c r="D3" s="475"/>
      <c r="E3" s="475"/>
      <c r="F3" s="475"/>
      <c r="G3" s="475"/>
      <c r="H3" s="475"/>
      <c r="I3" s="475"/>
      <c r="J3" s="475"/>
      <c r="K3" s="475"/>
      <c r="L3" s="475"/>
    </row>
    <row r="4" spans="2:13" ht="12" customHeight="1" x14ac:dyDescent="0.2">
      <c r="B4" s="272"/>
      <c r="C4" s="475" t="s">
        <v>5</v>
      </c>
      <c r="D4" s="475"/>
      <c r="E4" s="475"/>
      <c r="F4" s="475"/>
      <c r="G4" s="475"/>
      <c r="H4" s="475"/>
      <c r="I4" s="475"/>
      <c r="J4" s="475"/>
      <c r="K4" s="475"/>
      <c r="L4" s="475"/>
    </row>
    <row r="5" spans="2:13" ht="12" customHeight="1" x14ac:dyDescent="0.2">
      <c r="B5" s="272"/>
      <c r="C5" s="475" t="s">
        <v>624</v>
      </c>
      <c r="D5" s="475"/>
      <c r="E5" s="475"/>
      <c r="F5" s="475"/>
      <c r="G5" s="475"/>
      <c r="H5" s="475"/>
      <c r="I5" s="475"/>
      <c r="J5" s="475"/>
      <c r="K5" s="475"/>
      <c r="L5" s="475"/>
    </row>
    <row r="6" spans="2:13" ht="12" customHeight="1" x14ac:dyDescent="0.2">
      <c r="B6" s="272"/>
      <c r="C6" s="274" t="s">
        <v>6</v>
      </c>
      <c r="D6" s="477" t="str">
        <f>ENTE!D8</f>
        <v>UNIDAD DE SERVICIOS PARA LA EDUCACIÓN BÁSICA EN EL ESTADO DE QUERÉTARO</v>
      </c>
      <c r="E6" s="477"/>
      <c r="F6" s="477"/>
      <c r="G6" s="477"/>
      <c r="H6" s="477"/>
      <c r="I6" s="477"/>
      <c r="J6" s="477"/>
      <c r="K6" s="477"/>
      <c r="L6" s="477"/>
    </row>
    <row r="7" spans="2:13" ht="3" customHeight="1" x14ac:dyDescent="0.2">
      <c r="B7" s="102"/>
      <c r="C7" s="102"/>
      <c r="D7" s="102"/>
      <c r="E7" s="102"/>
      <c r="F7" s="102"/>
      <c r="G7" s="102"/>
    </row>
    <row r="8" spans="2:13" s="22" customFormat="1" ht="3" customHeight="1" x14ac:dyDescent="0.2">
      <c r="B8" s="272"/>
      <c r="C8" s="27"/>
      <c r="D8" s="27"/>
      <c r="E8" s="27"/>
      <c r="F8" s="27"/>
      <c r="G8" s="25"/>
      <c r="I8" s="104"/>
    </row>
    <row r="9" spans="2:13" s="22" customFormat="1" ht="3" customHeight="1" x14ac:dyDescent="0.2">
      <c r="B9" s="29"/>
      <c r="C9" s="29"/>
      <c r="D9" s="29"/>
      <c r="E9" s="30"/>
      <c r="F9" s="30"/>
      <c r="G9" s="275"/>
      <c r="I9" s="104"/>
    </row>
    <row r="10" spans="2:13" s="22" customFormat="1" ht="20.100000000000001" customHeight="1" x14ac:dyDescent="0.2">
      <c r="B10" s="171"/>
      <c r="C10" s="479" t="s">
        <v>625</v>
      </c>
      <c r="D10" s="479"/>
      <c r="E10" s="172" t="s">
        <v>744</v>
      </c>
      <c r="F10" s="172" t="s">
        <v>745</v>
      </c>
      <c r="G10" s="273"/>
      <c r="H10" s="479" t="s">
        <v>625</v>
      </c>
      <c r="I10" s="479"/>
      <c r="J10" s="172" t="s">
        <v>744</v>
      </c>
      <c r="K10" s="172" t="s">
        <v>745</v>
      </c>
      <c r="L10" s="174"/>
    </row>
    <row r="11" spans="2:13" ht="3" customHeight="1" x14ac:dyDescent="0.2">
      <c r="B11" s="32"/>
      <c r="C11" s="33"/>
      <c r="D11" s="33"/>
      <c r="E11" s="34"/>
      <c r="F11" s="34"/>
      <c r="G11" s="28"/>
      <c r="H11" s="22"/>
      <c r="I11" s="104"/>
      <c r="J11" s="22"/>
      <c r="K11" s="22"/>
      <c r="L11" s="35"/>
    </row>
    <row r="12" spans="2:13" s="22" customFormat="1" ht="3" customHeight="1" x14ac:dyDescent="0.2">
      <c r="B12" s="84"/>
      <c r="C12" s="105"/>
      <c r="D12" s="105"/>
      <c r="E12" s="106"/>
      <c r="F12" s="106"/>
      <c r="G12" s="38"/>
      <c r="I12" s="104"/>
      <c r="L12" s="35"/>
    </row>
    <row r="13" spans="2:13" x14ac:dyDescent="0.2">
      <c r="B13" s="44"/>
      <c r="C13" s="463" t="s">
        <v>685</v>
      </c>
      <c r="D13" s="463"/>
      <c r="E13" s="107">
        <f>E15+E25</f>
        <v>152498737.19999999</v>
      </c>
      <c r="F13" s="107">
        <f>F15+F25</f>
        <v>37623218.979999833</v>
      </c>
      <c r="G13" s="38"/>
      <c r="H13" s="463" t="s">
        <v>686</v>
      </c>
      <c r="I13" s="463"/>
      <c r="J13" s="107">
        <f>J15+J26</f>
        <v>0</v>
      </c>
      <c r="K13" s="107">
        <f>K15+K26</f>
        <v>14267060.309999999</v>
      </c>
      <c r="L13" s="35"/>
    </row>
    <row r="14" spans="2:13" x14ac:dyDescent="0.2">
      <c r="B14" s="41"/>
      <c r="C14" s="271"/>
      <c r="D14" s="72"/>
      <c r="E14" s="108"/>
      <c r="F14" s="108"/>
      <c r="G14" s="38"/>
      <c r="H14" s="271"/>
      <c r="I14" s="271"/>
      <c r="J14" s="108"/>
      <c r="K14" s="108"/>
      <c r="L14" s="35"/>
    </row>
    <row r="15" spans="2:13" x14ac:dyDescent="0.2">
      <c r="B15" s="41"/>
      <c r="C15" s="463" t="s">
        <v>687</v>
      </c>
      <c r="D15" s="463"/>
      <c r="E15" s="107">
        <f>SUM(E17:E23)</f>
        <v>31712947.079999998</v>
      </c>
      <c r="F15" s="107">
        <f>SUM(F17:F23)</f>
        <v>428667.83999999939</v>
      </c>
      <c r="G15" s="38"/>
      <c r="H15" s="463" t="s">
        <v>688</v>
      </c>
      <c r="I15" s="463"/>
      <c r="J15" s="107">
        <f>SUM(J17:J24)</f>
        <v>0</v>
      </c>
      <c r="K15" s="107">
        <f>SUM(K17:K24)</f>
        <v>14267060.309999999</v>
      </c>
      <c r="L15" s="35"/>
    </row>
    <row r="16" spans="2:13" x14ac:dyDescent="0.2">
      <c r="B16" s="41"/>
      <c r="C16" s="271"/>
      <c r="D16" s="72"/>
      <c r="E16" s="108"/>
      <c r="F16" s="108"/>
      <c r="G16" s="38"/>
      <c r="H16" s="271"/>
      <c r="I16" s="271"/>
      <c r="J16" s="108"/>
      <c r="K16" s="108"/>
      <c r="L16" s="35"/>
    </row>
    <row r="17" spans="2:12" x14ac:dyDescent="0.2">
      <c r="B17" s="44"/>
      <c r="C17" s="464" t="s">
        <v>689</v>
      </c>
      <c r="D17" s="464"/>
      <c r="E17" s="109">
        <f>IF('ESF (2)'!E16&lt;'ESF (2)'!F16,'ESF (2)'!F16-'ESF (2)'!E16,0)</f>
        <v>17931775.099999998</v>
      </c>
      <c r="F17" s="109">
        <f>IF(E17&gt;0,0,'ESF (2)'!E16-'ESF (2)'!F16)</f>
        <v>0</v>
      </c>
      <c r="G17" s="38"/>
      <c r="H17" s="464" t="s">
        <v>690</v>
      </c>
      <c r="I17" s="464"/>
      <c r="J17" s="109">
        <f>IF('ESF (2)'!J16&gt;'ESF (2)'!K16,'ESF (2)'!J16-'ESF (2)'!K16,0)</f>
        <v>0</v>
      </c>
      <c r="K17" s="109">
        <f>IF(J17&gt;0,0,'ESF (2)'!K16-'ESF (2)'!J16)</f>
        <v>12429497.149999999</v>
      </c>
      <c r="L17" s="35"/>
    </row>
    <row r="18" spans="2:12" x14ac:dyDescent="0.2">
      <c r="B18" s="44"/>
      <c r="C18" s="464" t="s">
        <v>691</v>
      </c>
      <c r="D18" s="464"/>
      <c r="E18" s="109">
        <f>IF('ESF (2)'!E17&lt;'ESF (2)'!F17,'ESF (2)'!F17-'ESF (2)'!E17,0)</f>
        <v>0</v>
      </c>
      <c r="F18" s="109">
        <f>IF(E18&gt;0,0,'ESF (2)'!E17-'ESF (2)'!F17)</f>
        <v>428667.83999999939</v>
      </c>
      <c r="G18" s="38"/>
      <c r="H18" s="464" t="s">
        <v>692</v>
      </c>
      <c r="I18" s="464"/>
      <c r="J18" s="109">
        <f>IF('ESF (2)'!J17&gt;'ESF (2)'!K17,'ESF (2)'!J17-'ESF (2)'!K17,0)</f>
        <v>0</v>
      </c>
      <c r="K18" s="109">
        <f>IF(J18&gt;0,0,'ESF (2)'!K17-'ESF (2)'!J17)</f>
        <v>1837563.1600000001</v>
      </c>
      <c r="L18" s="35"/>
    </row>
    <row r="19" spans="2:12" x14ac:dyDescent="0.2">
      <c r="B19" s="44"/>
      <c r="C19" s="464" t="s">
        <v>693</v>
      </c>
      <c r="D19" s="464"/>
      <c r="E19" s="109">
        <f>IF('ESF (2)'!E18&lt;'ESF (2)'!F18,'ESF (2)'!F18-'ESF (2)'!E18,0)</f>
        <v>0</v>
      </c>
      <c r="F19" s="109">
        <f>IF(E19&gt;0,0,'ESF (2)'!E18-'ESF (2)'!F18)</f>
        <v>0</v>
      </c>
      <c r="G19" s="38"/>
      <c r="H19" s="464" t="s">
        <v>694</v>
      </c>
      <c r="I19" s="464"/>
      <c r="J19" s="109">
        <f>IF('ESF (2)'!J18&gt;'ESF (2)'!K18,'ESF (2)'!J18-'ESF (2)'!K18,0)</f>
        <v>0</v>
      </c>
      <c r="K19" s="109">
        <f>IF(J19&gt;0,0,'ESF (2)'!K18-'ESF (2)'!J18)</f>
        <v>0</v>
      </c>
      <c r="L19" s="35"/>
    </row>
    <row r="20" spans="2:12" x14ac:dyDescent="0.2">
      <c r="B20" s="44"/>
      <c r="C20" s="464" t="s">
        <v>695</v>
      </c>
      <c r="D20" s="464"/>
      <c r="E20" s="109">
        <f>IF('ESF (2)'!E19&lt;'ESF (2)'!F19,'ESF (2)'!F19-'ESF (2)'!E19,0)</f>
        <v>0</v>
      </c>
      <c r="F20" s="109">
        <f>IF(E20&gt;0,0,'ESF (2)'!E19-'ESF (2)'!F19)</f>
        <v>0</v>
      </c>
      <c r="G20" s="38"/>
      <c r="H20" s="464" t="s">
        <v>696</v>
      </c>
      <c r="I20" s="464"/>
      <c r="J20" s="109">
        <f>IF('ESF (2)'!J19&gt;'ESF (2)'!K19,'ESF (2)'!J19-'ESF (2)'!K19,0)</f>
        <v>0</v>
      </c>
      <c r="K20" s="109">
        <f>IF(J20&gt;0,0,'ESF (2)'!K19-'ESF (2)'!J19)</f>
        <v>0</v>
      </c>
      <c r="L20" s="35"/>
    </row>
    <row r="21" spans="2:12" x14ac:dyDescent="0.2">
      <c r="B21" s="44"/>
      <c r="C21" s="464" t="s">
        <v>697</v>
      </c>
      <c r="D21" s="464"/>
      <c r="E21" s="109">
        <f>IF('ESF (2)'!E20&lt;'ESF (2)'!F20,'ESF (2)'!F20-'ESF (2)'!E20,0)</f>
        <v>13781171.98</v>
      </c>
      <c r="F21" s="109">
        <f>IF(E21&gt;0,0,'ESF (2)'!E20-'ESF (2)'!F20)</f>
        <v>0</v>
      </c>
      <c r="G21" s="38"/>
      <c r="H21" s="464" t="s">
        <v>698</v>
      </c>
      <c r="I21" s="464"/>
      <c r="J21" s="109">
        <f>IF('ESF (2)'!J20&gt;'ESF (2)'!K20,'ESF (2)'!J20-'ESF (2)'!K20,0)</f>
        <v>0</v>
      </c>
      <c r="K21" s="109">
        <f>IF(J21&gt;0,0,'ESF (2)'!K20-'ESF (2)'!J20)</f>
        <v>0</v>
      </c>
      <c r="L21" s="35"/>
    </row>
    <row r="22" spans="2:12" ht="25.5" customHeight="1" x14ac:dyDescent="0.2">
      <c r="B22" s="44"/>
      <c r="C22" s="464" t="s">
        <v>699</v>
      </c>
      <c r="D22" s="464"/>
      <c r="E22" s="109">
        <f>IF('ESF (2)'!E21&lt;'ESF (2)'!F21,'ESF (2)'!F21-'ESF (2)'!E21,0)</f>
        <v>0</v>
      </c>
      <c r="F22" s="109">
        <f>IF(E22&gt;0,0,'ESF (2)'!E21-'ESF (2)'!F21)</f>
        <v>0</v>
      </c>
      <c r="G22" s="38"/>
      <c r="H22" s="465" t="s">
        <v>700</v>
      </c>
      <c r="I22" s="465"/>
      <c r="J22" s="109">
        <f>IF('ESF (2)'!J21&gt;'ESF (2)'!K21,'ESF (2)'!J21-'ESF (2)'!K21,0)</f>
        <v>0</v>
      </c>
      <c r="K22" s="109">
        <f>IF(J22&gt;0,0,'ESF (2)'!K21-'ESF (2)'!J21)</f>
        <v>0</v>
      </c>
      <c r="L22" s="35"/>
    </row>
    <row r="23" spans="2:12" x14ac:dyDescent="0.2">
      <c r="B23" s="44"/>
      <c r="C23" s="464" t="s">
        <v>701</v>
      </c>
      <c r="D23" s="464"/>
      <c r="E23" s="109">
        <f>IF('ESF (2)'!E22&lt;'ESF (2)'!F22,'ESF (2)'!F22-'ESF (2)'!E22,0)</f>
        <v>0</v>
      </c>
      <c r="F23" s="109">
        <f>IF(E23&gt;0,0,'ESF (2)'!E22-'ESF (2)'!F22)</f>
        <v>0</v>
      </c>
      <c r="G23" s="38"/>
      <c r="H23" s="464" t="s">
        <v>702</v>
      </c>
      <c r="I23" s="464"/>
      <c r="J23" s="109">
        <f>IF('ESF (2)'!J22&gt;'ESF (2)'!K22,'ESF (2)'!J22-'ESF (2)'!K22,0)</f>
        <v>0</v>
      </c>
      <c r="K23" s="109">
        <f>IF(J23&gt;0,0,'ESF (2)'!K22-'ESF (2)'!J22)</f>
        <v>0</v>
      </c>
      <c r="L23" s="35"/>
    </row>
    <row r="24" spans="2:12" x14ac:dyDescent="0.2">
      <c r="B24" s="41"/>
      <c r="C24" s="271"/>
      <c r="D24" s="72"/>
      <c r="E24" s="108"/>
      <c r="F24" s="108"/>
      <c r="G24" s="38"/>
      <c r="H24" s="464" t="s">
        <v>703</v>
      </c>
      <c r="I24" s="464"/>
      <c r="J24" s="109">
        <f>IF('ESF (2)'!J23&gt;'ESF (2)'!K23,'ESF (2)'!J23-'ESF (2)'!K23,0)</f>
        <v>0</v>
      </c>
      <c r="K24" s="109">
        <f>IF(J24&gt;0,0,'ESF (2)'!K23-'ESF (2)'!J23)</f>
        <v>0</v>
      </c>
      <c r="L24" s="35"/>
    </row>
    <row r="25" spans="2:12" x14ac:dyDescent="0.2">
      <c r="B25" s="41"/>
      <c r="C25" s="463" t="s">
        <v>706</v>
      </c>
      <c r="D25" s="463"/>
      <c r="E25" s="107">
        <f>SUM(E27:E35)</f>
        <v>120785790.12</v>
      </c>
      <c r="F25" s="107">
        <f>SUM(F27:F35)</f>
        <v>37194551.139999837</v>
      </c>
      <c r="G25" s="38"/>
      <c r="H25" s="271"/>
      <c r="I25" s="271"/>
      <c r="J25" s="108"/>
      <c r="K25" s="108"/>
      <c r="L25" s="35"/>
    </row>
    <row r="26" spans="2:12" x14ac:dyDescent="0.2">
      <c r="B26" s="41"/>
      <c r="C26" s="271"/>
      <c r="D26" s="72"/>
      <c r="E26" s="108"/>
      <c r="F26" s="108"/>
      <c r="G26" s="38"/>
      <c r="H26" s="468" t="s">
        <v>707</v>
      </c>
      <c r="I26" s="468"/>
      <c r="J26" s="107">
        <f>SUM(J28:J33)</f>
        <v>0</v>
      </c>
      <c r="K26" s="107">
        <f>SUM(K28:K33)</f>
        <v>0</v>
      </c>
      <c r="L26" s="35"/>
    </row>
    <row r="27" spans="2:12" x14ac:dyDescent="0.2">
      <c r="B27" s="44"/>
      <c r="C27" s="464" t="s">
        <v>708</v>
      </c>
      <c r="D27" s="464"/>
      <c r="E27" s="109">
        <f>IF('ESF (2)'!E29&lt;'ESF (2)'!F29,'ESF (2)'!F29-'ESF (2)'!E29,0)</f>
        <v>0</v>
      </c>
      <c r="F27" s="109">
        <f>IF(E27&gt;0,0,'ESF (2)'!E29-'ESF (2)'!F29)</f>
        <v>0</v>
      </c>
      <c r="G27" s="38"/>
      <c r="H27" s="271"/>
      <c r="I27" s="271"/>
      <c r="J27" s="108"/>
      <c r="K27" s="108"/>
      <c r="L27" s="35"/>
    </row>
    <row r="28" spans="2:12" x14ac:dyDescent="0.2">
      <c r="B28" s="44"/>
      <c r="C28" s="464" t="s">
        <v>710</v>
      </c>
      <c r="D28" s="464"/>
      <c r="E28" s="109">
        <f>IF('ESF (2)'!E30&lt;'ESF (2)'!F30,'ESF (2)'!F30-'ESF (2)'!E30,0)</f>
        <v>0</v>
      </c>
      <c r="F28" s="109">
        <f>IF(E28&gt;0,0,'ESF (2)'!E30-'ESF (2)'!F30)</f>
        <v>0</v>
      </c>
      <c r="G28" s="38"/>
      <c r="H28" s="464" t="s">
        <v>709</v>
      </c>
      <c r="I28" s="464"/>
      <c r="J28" s="109">
        <f>IF('ESF (2)'!J29&gt;'ESF (2)'!K29,'ESF (2)'!J29-'ESF (2)'!K29,0)</f>
        <v>0</v>
      </c>
      <c r="K28" s="109">
        <f>IF(J28&gt;0,0,'ESF (2)'!K29-'ESF (2)'!J29)</f>
        <v>0</v>
      </c>
      <c r="L28" s="35"/>
    </row>
    <row r="29" spans="2:12" x14ac:dyDescent="0.2">
      <c r="B29" s="44"/>
      <c r="C29" s="464" t="s">
        <v>712</v>
      </c>
      <c r="D29" s="464"/>
      <c r="E29" s="109">
        <f>IF('ESF (2)'!E31&lt;'ESF (2)'!F31,'ESF (2)'!F31-'ESF (2)'!E31,0)</f>
        <v>69080573.879999995</v>
      </c>
      <c r="F29" s="109">
        <f>IF(E29&gt;0,0,'ESF (2)'!E31-'ESF (2)'!F31)</f>
        <v>0</v>
      </c>
      <c r="G29" s="38"/>
      <c r="H29" s="464" t="s">
        <v>711</v>
      </c>
      <c r="I29" s="464"/>
      <c r="J29" s="109">
        <f>IF('ESF (2)'!J30&gt;'ESF (2)'!K30,'ESF (2)'!J30-'ESF (2)'!K30,0)</f>
        <v>0</v>
      </c>
      <c r="K29" s="109">
        <f>IF(J29&gt;0,0,'ESF (2)'!K30-'ESF (2)'!J30)</f>
        <v>0</v>
      </c>
      <c r="L29" s="35"/>
    </row>
    <row r="30" spans="2:12" x14ac:dyDescent="0.2">
      <c r="B30" s="44"/>
      <c r="C30" s="464" t="s">
        <v>714</v>
      </c>
      <c r="D30" s="464"/>
      <c r="E30" s="109">
        <f>IF('ESF (2)'!E32&lt;'ESF (2)'!F32,'ESF (2)'!F32-'ESF (2)'!E32,0)</f>
        <v>0</v>
      </c>
      <c r="F30" s="109">
        <f>IF(E30&gt;0,0,'ESF (2)'!E32-'ESF (2)'!F32)</f>
        <v>28119768.419999838</v>
      </c>
      <c r="G30" s="38"/>
      <c r="H30" s="464" t="s">
        <v>713</v>
      </c>
      <c r="I30" s="464"/>
      <c r="J30" s="109">
        <f>IF('ESF (2)'!J31&gt;'ESF (2)'!K31,'ESF (2)'!J31-'ESF (2)'!K31,0)</f>
        <v>0</v>
      </c>
      <c r="K30" s="109">
        <f>IF(J30&gt;0,0,'ESF (2)'!K31-'ESF (2)'!J31)</f>
        <v>0</v>
      </c>
      <c r="L30" s="35"/>
    </row>
    <row r="31" spans="2:12" x14ac:dyDescent="0.2">
      <c r="B31" s="44"/>
      <c r="C31" s="464" t="s">
        <v>716</v>
      </c>
      <c r="D31" s="464"/>
      <c r="E31" s="109">
        <f>IF('ESF (2)'!E33&lt;'ESF (2)'!F33,'ESF (2)'!F33-'ESF (2)'!E33,0)</f>
        <v>0</v>
      </c>
      <c r="F31" s="109">
        <f>IF(E31&gt;0,0,'ESF (2)'!E33-'ESF (2)'!F33)</f>
        <v>9074782.7200000007</v>
      </c>
      <c r="G31" s="38"/>
      <c r="H31" s="464" t="s">
        <v>715</v>
      </c>
      <c r="I31" s="464"/>
      <c r="J31" s="109">
        <f>IF('ESF (2)'!J32&gt;'ESF (2)'!K32,'ESF (2)'!J32-'ESF (2)'!K32,0)</f>
        <v>0</v>
      </c>
      <c r="K31" s="109">
        <f>IF(J31&gt;0,0,'ESF (2)'!K32-'ESF (2)'!J32)</f>
        <v>0</v>
      </c>
      <c r="L31" s="35"/>
    </row>
    <row r="32" spans="2:12" ht="26.1" customHeight="1" x14ac:dyDescent="0.2">
      <c r="B32" s="44"/>
      <c r="C32" s="465" t="s">
        <v>718</v>
      </c>
      <c r="D32" s="465"/>
      <c r="E32" s="109">
        <f>IF('ESF (2)'!E34&lt;'ESF (2)'!F34,'ESF (2)'!F34-'ESF (2)'!E34,0)</f>
        <v>50705216.24000001</v>
      </c>
      <c r="F32" s="109">
        <f>IF(E32&gt;0,0,'ESF (2)'!E34-'ESF (2)'!F34)</f>
        <v>0</v>
      </c>
      <c r="G32" s="38"/>
      <c r="H32" s="465" t="s">
        <v>717</v>
      </c>
      <c r="I32" s="465"/>
      <c r="J32" s="109">
        <f>IF('ESF (2)'!J33&gt;'ESF (2)'!K33,'ESF (2)'!J33-'ESF (2)'!K33,0)</f>
        <v>0</v>
      </c>
      <c r="K32" s="109">
        <f>IF(J32&gt;0,0,'ESF (2)'!K33-'ESF (2)'!J33)</f>
        <v>0</v>
      </c>
      <c r="L32" s="35"/>
    </row>
    <row r="33" spans="2:12" x14ac:dyDescent="0.2">
      <c r="B33" s="44"/>
      <c r="C33" s="464" t="s">
        <v>720</v>
      </c>
      <c r="D33" s="464"/>
      <c r="E33" s="109">
        <f>IF('ESF (2)'!E35&lt;'ESF (2)'!F35,'ESF (2)'!F35-'ESF (2)'!E35,0)</f>
        <v>1000000</v>
      </c>
      <c r="F33" s="109">
        <f>IF(E33&gt;0,0,'ESF (2)'!E35-'ESF (2)'!F35)</f>
        <v>0</v>
      </c>
      <c r="G33" s="38"/>
      <c r="H33" s="464" t="s">
        <v>719</v>
      </c>
      <c r="I33" s="464"/>
      <c r="J33" s="109">
        <f>IF('ESF (2)'!J34&gt;'ESF (2)'!K34,'ESF (2)'!J34-'ESF (2)'!K34,0)</f>
        <v>0</v>
      </c>
      <c r="K33" s="109">
        <f>IF(J33&gt;0,0,'ESF (2)'!K34-'ESF (2)'!J34)</f>
        <v>0</v>
      </c>
      <c r="L33" s="35"/>
    </row>
    <row r="34" spans="2:12" ht="25.5" customHeight="1" x14ac:dyDescent="0.2">
      <c r="B34" s="44"/>
      <c r="C34" s="465" t="s">
        <v>721</v>
      </c>
      <c r="D34" s="465"/>
      <c r="E34" s="109">
        <f>IF('ESF (2)'!E36&lt;'ESF (2)'!F36,'ESF (2)'!F36-'ESF (2)'!E36,0)</f>
        <v>0</v>
      </c>
      <c r="F34" s="109">
        <f>IF(E34&gt;0,0,'ESF (2)'!E36-'ESF (2)'!F36)</f>
        <v>0</v>
      </c>
      <c r="G34" s="38"/>
      <c r="H34" s="271"/>
      <c r="I34" s="271"/>
      <c r="J34" s="106"/>
      <c r="K34" s="106"/>
      <c r="L34" s="35"/>
    </row>
    <row r="35" spans="2:12" x14ac:dyDescent="0.2">
      <c r="B35" s="44"/>
      <c r="C35" s="464" t="s">
        <v>723</v>
      </c>
      <c r="D35" s="464"/>
      <c r="E35" s="109">
        <f>IF('ESF (2)'!E37&lt;'ESF (2)'!F37,'ESF (2)'!F37-'ESF (2)'!E37,0)</f>
        <v>0</v>
      </c>
      <c r="F35" s="109">
        <f>IF(E35&gt;0,0,'ESF (2)'!E37-'ESF (2)'!F37)</f>
        <v>0</v>
      </c>
      <c r="G35" s="38"/>
      <c r="H35" s="463" t="s">
        <v>726</v>
      </c>
      <c r="I35" s="463"/>
      <c r="J35" s="107">
        <f>J37+J43+J51</f>
        <v>21099878.09</v>
      </c>
      <c r="K35" s="107">
        <f>K37+K43+K51</f>
        <v>121708336.00000048</v>
      </c>
      <c r="L35" s="35"/>
    </row>
    <row r="36" spans="2:12" x14ac:dyDescent="0.2">
      <c r="B36" s="41"/>
      <c r="C36" s="271"/>
      <c r="D36" s="72"/>
      <c r="E36" s="106"/>
      <c r="F36" s="106"/>
      <c r="G36" s="38"/>
      <c r="H36" s="271"/>
      <c r="I36" s="271"/>
      <c r="J36" s="108"/>
      <c r="K36" s="108"/>
      <c r="L36" s="35"/>
    </row>
    <row r="37" spans="2:12" x14ac:dyDescent="0.2">
      <c r="B37" s="44"/>
      <c r="C37" s="22"/>
      <c r="D37" s="22"/>
      <c r="E37" s="22"/>
      <c r="F37" s="22"/>
      <c r="G37" s="38"/>
      <c r="H37" s="463" t="s">
        <v>728</v>
      </c>
      <c r="I37" s="463"/>
      <c r="J37" s="107">
        <f>SUM(J39:J41)</f>
        <v>21099878.09</v>
      </c>
      <c r="K37" s="107">
        <f>SUM(K39:K41)</f>
        <v>0</v>
      </c>
      <c r="L37" s="35"/>
    </row>
    <row r="38" spans="2:12" x14ac:dyDescent="0.2">
      <c r="B38" s="41"/>
      <c r="C38" s="22"/>
      <c r="D38" s="22"/>
      <c r="E38" s="22"/>
      <c r="F38" s="22"/>
      <c r="G38" s="38"/>
      <c r="H38" s="271"/>
      <c r="I38" s="271"/>
      <c r="J38" s="108"/>
      <c r="K38" s="108"/>
      <c r="L38" s="35"/>
    </row>
    <row r="39" spans="2:12" x14ac:dyDescent="0.2">
      <c r="B39" s="44"/>
      <c r="C39" s="22"/>
      <c r="D39" s="22"/>
      <c r="E39" s="22"/>
      <c r="F39" s="22"/>
      <c r="G39" s="38"/>
      <c r="H39" s="464" t="s">
        <v>660</v>
      </c>
      <c r="I39" s="464"/>
      <c r="J39" s="109">
        <f>IF('ESF (2)'!J44&gt;'ESF (2)'!K44,'ESF (2)'!J44-'ESF (2)'!K44,0)</f>
        <v>0</v>
      </c>
      <c r="K39" s="109">
        <f>IF(J39&gt;0,0,'ESF (2)'!K44-'ESF (2)'!J44)</f>
        <v>0</v>
      </c>
      <c r="L39" s="35"/>
    </row>
    <row r="40" spans="2:12" x14ac:dyDescent="0.2">
      <c r="B40" s="41"/>
      <c r="C40" s="22"/>
      <c r="D40" s="22"/>
      <c r="E40" s="22"/>
      <c r="F40" s="22"/>
      <c r="G40" s="38"/>
      <c r="H40" s="464" t="s">
        <v>729</v>
      </c>
      <c r="I40" s="464"/>
      <c r="J40" s="109">
        <f>IF('ESF (2)'!J45&gt;'ESF (2)'!K45,'ESF (2)'!J45-'ESF (2)'!K45,0)</f>
        <v>21099878.09</v>
      </c>
      <c r="K40" s="109">
        <f>IF(J40&gt;0,0,'ESF (2)'!K45-'ESF (2)'!J45)</f>
        <v>0</v>
      </c>
      <c r="L40" s="35"/>
    </row>
    <row r="41" spans="2:12" x14ac:dyDescent="0.2">
      <c r="B41" s="44"/>
      <c r="C41" s="22"/>
      <c r="D41" s="22"/>
      <c r="E41" s="22"/>
      <c r="F41" s="22"/>
      <c r="G41" s="38"/>
      <c r="H41" s="464" t="s">
        <v>730</v>
      </c>
      <c r="I41" s="464"/>
      <c r="J41" s="109">
        <f>IF('ESF (2)'!J46&gt;'ESF (2)'!K46,'ESF (2)'!J46-'ESF (2)'!K46,0)</f>
        <v>0</v>
      </c>
      <c r="K41" s="109">
        <f>IF(J41&gt;0,0,'ESF (2)'!K46-'ESF (2)'!J46)</f>
        <v>0</v>
      </c>
      <c r="L41" s="35"/>
    </row>
    <row r="42" spans="2:12" x14ac:dyDescent="0.2">
      <c r="B42" s="44"/>
      <c r="C42" s="22"/>
      <c r="D42" s="22"/>
      <c r="E42" s="22"/>
      <c r="F42" s="22"/>
      <c r="G42" s="38"/>
      <c r="H42" s="271"/>
      <c r="I42" s="271"/>
      <c r="J42" s="108"/>
      <c r="K42" s="108"/>
      <c r="L42" s="35"/>
    </row>
    <row r="43" spans="2:12" x14ac:dyDescent="0.2">
      <c r="B43" s="44"/>
      <c r="C43" s="22"/>
      <c r="D43" s="22"/>
      <c r="E43" s="22"/>
      <c r="F43" s="22"/>
      <c r="G43" s="38"/>
      <c r="H43" s="463" t="s">
        <v>731</v>
      </c>
      <c r="I43" s="463"/>
      <c r="J43" s="107">
        <f>SUM(J45:J49)</f>
        <v>0</v>
      </c>
      <c r="K43" s="107">
        <f>SUM(K45:K49)</f>
        <v>121708336.00000048</v>
      </c>
      <c r="L43" s="35"/>
    </row>
    <row r="44" spans="2:12" x14ac:dyDescent="0.2">
      <c r="B44" s="44"/>
      <c r="C44" s="22"/>
      <c r="D44" s="22"/>
      <c r="E44" s="22"/>
      <c r="F44" s="22"/>
      <c r="G44" s="38"/>
      <c r="H44" s="271"/>
      <c r="I44" s="271"/>
      <c r="J44" s="108"/>
      <c r="K44" s="108"/>
      <c r="L44" s="35"/>
    </row>
    <row r="45" spans="2:12" x14ac:dyDescent="0.2">
      <c r="B45" s="44"/>
      <c r="C45" s="22"/>
      <c r="D45" s="22"/>
      <c r="E45" s="22"/>
      <c r="F45" s="22"/>
      <c r="G45" s="38"/>
      <c r="H45" s="464" t="s">
        <v>732</v>
      </c>
      <c r="I45" s="464"/>
      <c r="J45" s="109">
        <f>IF('ESF (2)'!J50&gt;'ESF (2)'!K50,'ESF (2)'!J50-'ESF (2)'!K50,0)</f>
        <v>0</v>
      </c>
      <c r="K45" s="109">
        <f>IF(J45&gt;0,0,'ESF (2)'!K50-'ESF (2)'!J50)</f>
        <v>74202107.309999466</v>
      </c>
      <c r="L45" s="35"/>
    </row>
    <row r="46" spans="2:12" x14ac:dyDescent="0.2">
      <c r="B46" s="44"/>
      <c r="C46" s="22"/>
      <c r="D46" s="22"/>
      <c r="E46" s="22"/>
      <c r="F46" s="22"/>
      <c r="G46" s="38"/>
      <c r="H46" s="464" t="s">
        <v>733</v>
      </c>
      <c r="I46" s="464"/>
      <c r="J46" s="109">
        <f>IF('ESF (2)'!J51&gt;'ESF (2)'!K51,'ESF (2)'!J51-'ESF (2)'!K51,0)</f>
        <v>0</v>
      </c>
      <c r="K46" s="109">
        <f>IF(J46&gt;0,0,'ESF (2)'!K51-'ESF (2)'!J51)</f>
        <v>47506228.690001011</v>
      </c>
      <c r="L46" s="35"/>
    </row>
    <row r="47" spans="2:12" x14ac:dyDescent="0.2">
      <c r="B47" s="44"/>
      <c r="C47" s="22"/>
      <c r="D47" s="22"/>
      <c r="E47" s="22"/>
      <c r="F47" s="22"/>
      <c r="G47" s="38"/>
      <c r="H47" s="464" t="s">
        <v>734</v>
      </c>
      <c r="I47" s="464"/>
      <c r="J47" s="109">
        <f>IF('ESF (2)'!J52&gt;'ESF (2)'!K52,'ESF (2)'!J52-'ESF (2)'!K52,0)</f>
        <v>0</v>
      </c>
      <c r="K47" s="109">
        <f>IF(J47&gt;0,0,'ESF (2)'!K52-'ESF (2)'!J52)</f>
        <v>0</v>
      </c>
      <c r="L47" s="35"/>
    </row>
    <row r="48" spans="2:12" x14ac:dyDescent="0.2">
      <c r="B48" s="44"/>
      <c r="C48" s="22"/>
      <c r="D48" s="22"/>
      <c r="E48" s="22"/>
      <c r="F48" s="22"/>
      <c r="G48" s="38"/>
      <c r="H48" s="464" t="s">
        <v>735</v>
      </c>
      <c r="I48" s="464"/>
      <c r="J48" s="109">
        <f>IF('ESF (2)'!J53&gt;'ESF (2)'!K53,'ESF (2)'!J53-'ESF (2)'!K53,0)</f>
        <v>0</v>
      </c>
      <c r="K48" s="109">
        <f>IF(J48&gt;0,0,'ESF (2)'!K53-'ESF (2)'!J53)</f>
        <v>0</v>
      </c>
      <c r="L48" s="35"/>
    </row>
    <row r="49" spans="2:12" x14ac:dyDescent="0.2">
      <c r="B49" s="41"/>
      <c r="C49" s="22"/>
      <c r="D49" s="22"/>
      <c r="E49" s="22"/>
      <c r="F49" s="22"/>
      <c r="G49" s="38"/>
      <c r="H49" s="464" t="s">
        <v>736</v>
      </c>
      <c r="I49" s="464"/>
      <c r="J49" s="109">
        <f>IF('ESF (2)'!J54&gt;'ESF (2)'!K54,'ESF (2)'!J54-'ESF (2)'!K54,0)</f>
        <v>0</v>
      </c>
      <c r="K49" s="109">
        <f>IF(J49&gt;0,0,'ESF (2)'!K54-'ESF (2)'!J54)</f>
        <v>0</v>
      </c>
      <c r="L49" s="35"/>
    </row>
    <row r="50" spans="2:12" x14ac:dyDescent="0.2">
      <c r="B50" s="44"/>
      <c r="C50" s="22"/>
      <c r="D50" s="22"/>
      <c r="E50" s="22"/>
      <c r="F50" s="22"/>
      <c r="G50" s="38"/>
      <c r="H50" s="271"/>
      <c r="I50" s="271"/>
      <c r="J50" s="108"/>
      <c r="K50" s="108"/>
      <c r="L50" s="35"/>
    </row>
    <row r="51" spans="2:12" x14ac:dyDescent="0.2">
      <c r="B51" s="41"/>
      <c r="C51" s="22"/>
      <c r="D51" s="22"/>
      <c r="E51" s="22"/>
      <c r="F51" s="22"/>
      <c r="G51" s="38"/>
      <c r="H51" s="463" t="s">
        <v>746</v>
      </c>
      <c r="I51" s="463"/>
      <c r="J51" s="107">
        <f>SUM(J53:J54)</f>
        <v>0</v>
      </c>
      <c r="K51" s="107">
        <f>SUM(K53:K54)</f>
        <v>0</v>
      </c>
      <c r="L51" s="35"/>
    </row>
    <row r="52" spans="2:12" ht="6" customHeight="1" x14ac:dyDescent="0.2">
      <c r="B52" s="44"/>
      <c r="C52" s="22"/>
      <c r="D52" s="22"/>
      <c r="E52" s="22"/>
      <c r="F52" s="22"/>
      <c r="G52" s="38"/>
      <c r="H52" s="271"/>
      <c r="I52" s="271"/>
      <c r="J52" s="108"/>
      <c r="K52" s="108"/>
      <c r="L52" s="35"/>
    </row>
    <row r="53" spans="2:12" x14ac:dyDescent="0.2">
      <c r="B53" s="44"/>
      <c r="C53" s="22"/>
      <c r="D53" s="22"/>
      <c r="E53" s="22"/>
      <c r="F53" s="22"/>
      <c r="G53" s="38"/>
      <c r="H53" s="464" t="s">
        <v>738</v>
      </c>
      <c r="I53" s="464"/>
      <c r="J53" s="109">
        <f>IF('ESF (2)'!J58&gt;'ESF (2)'!K58,'ESF (2)'!J58-'ESF (2)'!K58,0)</f>
        <v>0</v>
      </c>
      <c r="K53" s="109">
        <f>IF(J53&gt;0,0,'ESF (2)'!K58-'ESF (2)'!J58)</f>
        <v>0</v>
      </c>
      <c r="L53" s="35"/>
    </row>
    <row r="54" spans="2:12" ht="19.5" customHeight="1" x14ac:dyDescent="0.2">
      <c r="B54" s="110"/>
      <c r="C54" s="59"/>
      <c r="D54" s="59"/>
      <c r="E54" s="59"/>
      <c r="F54" s="59"/>
      <c r="G54" s="98"/>
      <c r="H54" s="491" t="s">
        <v>739</v>
      </c>
      <c r="I54" s="491"/>
      <c r="J54" s="111">
        <f>IF('ESF (2)'!J59&gt;'ESF (2)'!K59,'ESF (2)'!J59-'ESF (2)'!K59,0)</f>
        <v>0</v>
      </c>
      <c r="K54" s="111">
        <f>IF(J54&gt;0,0,'ESF (2)'!K59-'ESF (2)'!J59)</f>
        <v>0</v>
      </c>
      <c r="L54" s="61"/>
    </row>
    <row r="55" spans="2:12" ht="6" customHeight="1" x14ac:dyDescent="0.2">
      <c r="B55" s="112"/>
      <c r="C55" s="59"/>
      <c r="D55" s="62"/>
      <c r="E55" s="63"/>
      <c r="F55" s="64"/>
      <c r="G55" s="64"/>
      <c r="H55" s="59"/>
      <c r="I55" s="113"/>
      <c r="J55" s="63"/>
      <c r="K55" s="64"/>
      <c r="L55" s="64"/>
    </row>
    <row r="56" spans="2:12" ht="6" customHeight="1" x14ac:dyDescent="0.2">
      <c r="B56" s="22"/>
      <c r="D56" s="47"/>
      <c r="E56" s="67"/>
      <c r="F56" s="68"/>
      <c r="G56" s="68"/>
      <c r="I56" s="114"/>
      <c r="J56" s="67"/>
      <c r="K56" s="68"/>
      <c r="L56" s="68"/>
    </row>
    <row r="57" spans="2:12" ht="6" customHeight="1" x14ac:dyDescent="0.2">
      <c r="C57" s="47"/>
      <c r="D57" s="67"/>
      <c r="E57" s="68"/>
      <c r="F57" s="68"/>
      <c r="H57" s="69"/>
      <c r="I57" s="115"/>
      <c r="J57" s="68"/>
      <c r="K57" s="68"/>
    </row>
    <row r="58" spans="2:12" ht="15" customHeight="1" x14ac:dyDescent="0.2">
      <c r="C58" s="470" t="s">
        <v>681</v>
      </c>
      <c r="D58" s="470"/>
      <c r="E58" s="470"/>
      <c r="F58" s="470"/>
      <c r="G58" s="470"/>
      <c r="H58" s="470"/>
      <c r="I58" s="470"/>
      <c r="J58" s="470"/>
      <c r="K58" s="470"/>
    </row>
    <row r="59" spans="2:12" ht="9.75" customHeight="1" x14ac:dyDescent="0.2">
      <c r="C59" s="47"/>
      <c r="D59" s="67"/>
      <c r="E59" s="68"/>
      <c r="F59" s="68"/>
      <c r="H59" s="69"/>
      <c r="I59" s="115"/>
      <c r="J59" s="68"/>
      <c r="K59" s="68"/>
    </row>
    <row r="60" spans="2:12" ht="50.1" customHeight="1" x14ac:dyDescent="0.2">
      <c r="C60" s="47"/>
      <c r="D60" s="67"/>
      <c r="E60" s="68"/>
      <c r="F60" s="68"/>
      <c r="H60" s="69"/>
      <c r="I60" s="115"/>
      <c r="J60" s="68"/>
      <c r="K60" s="68"/>
    </row>
    <row r="61" spans="2:12" ht="14.1" customHeight="1" x14ac:dyDescent="0.2">
      <c r="C61" s="71"/>
      <c r="D61" s="466" t="str">
        <f>ENTE!D10</f>
        <v>ING. ENRIQUE DE ECHAVARRI LARY</v>
      </c>
      <c r="E61" s="466"/>
      <c r="F61" s="68"/>
      <c r="G61" s="68"/>
      <c r="H61" s="466" t="str">
        <f>ENTE!D14</f>
        <v>LIC. RICARDO SALVADOR BACA MUÑOZ</v>
      </c>
      <c r="I61" s="466"/>
      <c r="J61" s="72"/>
      <c r="K61" s="68"/>
    </row>
    <row r="62" spans="2:12" ht="14.1" customHeight="1" x14ac:dyDescent="0.2">
      <c r="C62" s="73"/>
      <c r="D62" s="467" t="str">
        <f>ENTE!D12</f>
        <v>COORDINADOR GENERAL</v>
      </c>
      <c r="E62" s="467"/>
      <c r="F62" s="74"/>
      <c r="G62" s="74"/>
      <c r="H62" s="467" t="str">
        <f>ENTE!D16</f>
        <v>DIRECTOR DE ADMINISTRACIÓN</v>
      </c>
      <c r="I62" s="467"/>
      <c r="J62" s="72"/>
      <c r="K62" s="68"/>
    </row>
    <row r="63" spans="2:12" x14ac:dyDescent="0.2">
      <c r="B63" s="270"/>
      <c r="G63" s="38"/>
    </row>
  </sheetData>
  <sheetProtection selectLockedCells="1"/>
  <mergeCells count="62">
    <mergeCell ref="C10:D10"/>
    <mergeCell ref="H10:I10"/>
    <mergeCell ref="C2:L2"/>
    <mergeCell ref="C3:L3"/>
    <mergeCell ref="C4:L4"/>
    <mergeCell ref="C5:L5"/>
    <mergeCell ref="D6:L6"/>
    <mergeCell ref="C13:D13"/>
    <mergeCell ref="H13:I13"/>
    <mergeCell ref="C15:D15"/>
    <mergeCell ref="H15:I15"/>
    <mergeCell ref="C17:D17"/>
    <mergeCell ref="H17:I17"/>
    <mergeCell ref="C18:D18"/>
    <mergeCell ref="H18:I18"/>
    <mergeCell ref="C19:D19"/>
    <mergeCell ref="H19:I19"/>
    <mergeCell ref="C20:D20"/>
    <mergeCell ref="H20:I20"/>
    <mergeCell ref="C21:D21"/>
    <mergeCell ref="H21:I21"/>
    <mergeCell ref="C22:D22"/>
    <mergeCell ref="H22:I22"/>
    <mergeCell ref="C23:D23"/>
    <mergeCell ref="H23:I23"/>
    <mergeCell ref="H24:I24"/>
    <mergeCell ref="C25:D25"/>
    <mergeCell ref="H26:I26"/>
    <mergeCell ref="C27:D27"/>
    <mergeCell ref="C28:D28"/>
    <mergeCell ref="H28:I28"/>
    <mergeCell ref="C35:D35"/>
    <mergeCell ref="H35:I35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53:I53"/>
    <mergeCell ref="H37:I37"/>
    <mergeCell ref="H39:I39"/>
    <mergeCell ref="H40:I40"/>
    <mergeCell ref="H41:I41"/>
    <mergeCell ref="H43:I43"/>
    <mergeCell ref="H45:I45"/>
    <mergeCell ref="H46:I46"/>
    <mergeCell ref="H47:I47"/>
    <mergeCell ref="H48:I48"/>
    <mergeCell ref="H49:I49"/>
    <mergeCell ref="H51:I51"/>
    <mergeCell ref="H54:I54"/>
    <mergeCell ref="C58:K58"/>
    <mergeCell ref="D61:E61"/>
    <mergeCell ref="H61:I61"/>
    <mergeCell ref="D62:E62"/>
    <mergeCell ref="H62:I62"/>
  </mergeCells>
  <hyperlinks>
    <hyperlink ref="C2:D2" location="RENDICIÓN_DE_LA_CUENTA_PÚBLICA" display="RENDICIÓN DE LA CUENTA PÚBLICA"/>
  </hyperlinks>
  <pageMargins left="0.70866141732283472" right="0.70866141732283472" top="0.74803149606299213" bottom="0.74803149606299213" header="0.31496062992125984" footer="0.31496062992125984"/>
  <pageSetup scale="60" orientation="landscape" r:id="rId1"/>
  <headerFooter>
    <oddFooter>&amp;LCuenta Pública 2016&amp;C&amp;A&amp;RPágina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/>
  </sheetViews>
  <sheetFormatPr baseColWidth="10" defaultRowHeight="15" x14ac:dyDescent="0.25"/>
  <cols>
    <col min="1" max="1" width="16.140625" bestFit="1" customWidth="1"/>
  </cols>
  <sheetData>
    <row r="1" spans="1:1" x14ac:dyDescent="0.25">
      <c r="A1" t="s">
        <v>1031</v>
      </c>
    </row>
    <row r="2" spans="1:1" x14ac:dyDescent="0.25">
      <c r="A2" s="409">
        <v>43131</v>
      </c>
    </row>
    <row r="3" spans="1:1" x14ac:dyDescent="0.25">
      <c r="A3" s="409">
        <v>43159</v>
      </c>
    </row>
    <row r="4" spans="1:1" x14ac:dyDescent="0.25">
      <c r="A4" s="409">
        <v>43190</v>
      </c>
    </row>
    <row r="5" spans="1:1" x14ac:dyDescent="0.25">
      <c r="A5" s="409">
        <v>43220</v>
      </c>
    </row>
    <row r="6" spans="1:1" x14ac:dyDescent="0.25">
      <c r="A6" s="409">
        <v>43251</v>
      </c>
    </row>
    <row r="7" spans="1:1" x14ac:dyDescent="0.25">
      <c r="A7" s="409">
        <v>43281</v>
      </c>
    </row>
    <row r="8" spans="1:1" x14ac:dyDescent="0.25">
      <c r="A8" s="409">
        <v>43312</v>
      </c>
    </row>
    <row r="9" spans="1:1" x14ac:dyDescent="0.25">
      <c r="A9" s="409">
        <v>43343</v>
      </c>
    </row>
    <row r="10" spans="1:1" x14ac:dyDescent="0.25">
      <c r="A10" s="409">
        <v>43373</v>
      </c>
    </row>
    <row r="11" spans="1:1" x14ac:dyDescent="0.25">
      <c r="A11" s="409">
        <v>43404</v>
      </c>
    </row>
    <row r="12" spans="1:1" x14ac:dyDescent="0.25">
      <c r="A12" s="409">
        <v>43434</v>
      </c>
    </row>
    <row r="13" spans="1:1" x14ac:dyDescent="0.25">
      <c r="A13" s="409">
        <v>43465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outlinePr showOutlineSymbols="0"/>
    <pageSetUpPr fitToPage="1"/>
  </sheetPr>
  <dimension ref="A1:N677"/>
  <sheetViews>
    <sheetView showGridLines="0" showRuler="0" showOutlineSymbols="0" view="pageBreakPreview" topLeftCell="A644" zoomScaleNormal="115" zoomScaleSheetLayoutView="100" workbookViewId="0">
      <selection activeCell="G270" sqref="G270"/>
    </sheetView>
  </sheetViews>
  <sheetFormatPr baseColWidth="10" defaultRowHeight="12" x14ac:dyDescent="0.2"/>
  <cols>
    <col min="1" max="1" width="5.85546875" style="1" bestFit="1" customWidth="1"/>
    <col min="2" max="2" width="66.140625" style="1" customWidth="1"/>
    <col min="3" max="4" width="18.42578125" style="1" customWidth="1"/>
    <col min="5" max="5" width="18.140625" style="5" customWidth="1"/>
    <col min="6" max="6" width="20.85546875" style="5" customWidth="1"/>
    <col min="7" max="7" width="19.42578125" style="5" customWidth="1"/>
    <col min="8" max="8" width="21" style="6" customWidth="1"/>
    <col min="9" max="9" width="21" style="6" hidden="1" customWidth="1"/>
    <col min="10" max="10" width="16.85546875" style="1" hidden="1" customWidth="1"/>
    <col min="11" max="11" width="46.28515625" style="1" hidden="1" customWidth="1"/>
    <col min="12" max="13" width="45.5703125" style="1" bestFit="1" customWidth="1"/>
    <col min="14" max="14" width="43" style="1" bestFit="1" customWidth="1"/>
    <col min="15" max="16384" width="11.42578125" style="1"/>
  </cols>
  <sheetData>
    <row r="1" spans="1:14" hidden="1" x14ac:dyDescent="0.2"/>
    <row r="2" spans="1:14" hidden="1" x14ac:dyDescent="0.2">
      <c r="B2" s="459"/>
      <c r="C2" s="459"/>
      <c r="D2" s="459"/>
      <c r="E2" s="459"/>
      <c r="F2" s="459"/>
      <c r="G2" s="459"/>
      <c r="H2" s="459"/>
      <c r="I2" s="3"/>
    </row>
    <row r="3" spans="1:14" ht="15" customHeight="1" x14ac:dyDescent="0.2">
      <c r="B3" s="461"/>
      <c r="C3" s="461"/>
      <c r="D3" s="461"/>
      <c r="E3" s="461"/>
      <c r="F3" s="461"/>
      <c r="G3" s="461"/>
      <c r="H3" s="461"/>
      <c r="I3" s="3"/>
    </row>
    <row r="4" spans="1:14" x14ac:dyDescent="0.2">
      <c r="B4" s="461" t="s">
        <v>4</v>
      </c>
      <c r="C4" s="461"/>
      <c r="D4" s="461"/>
      <c r="E4" s="461"/>
      <c r="F4" s="461"/>
      <c r="G4" s="461"/>
      <c r="H4" s="461"/>
      <c r="I4" s="3"/>
    </row>
    <row r="5" spans="1:14" x14ac:dyDescent="0.2">
      <c r="B5" s="461" t="str">
        <f>"Del 1 de enero al "&amp;TEXT(INDEX(Periodos,ENTE!D18,1),"dd")&amp;" de "&amp;TEXT(INDEX(Periodos,ENTE!D18,1),"mmmm")&amp;" del "&amp;TEXT(INDEX(Periodos,ENTE!D18,1),"aaaa")&amp;" y 2017"</f>
        <v>Del 1 de enero al 31 de diciembre del 2018 y 2017</v>
      </c>
      <c r="C5" s="461"/>
      <c r="D5" s="461"/>
      <c r="E5" s="461"/>
      <c r="F5" s="461"/>
      <c r="G5" s="461"/>
      <c r="H5" s="461"/>
      <c r="I5" s="3"/>
    </row>
    <row r="6" spans="1:14" x14ac:dyDescent="0.2">
      <c r="B6" s="462" t="s">
        <v>624</v>
      </c>
      <c r="C6" s="462"/>
      <c r="D6" s="462"/>
      <c r="E6" s="462"/>
      <c r="F6" s="462"/>
      <c r="G6" s="462"/>
      <c r="H6" s="462"/>
    </row>
    <row r="7" spans="1:14" x14ac:dyDescent="0.2">
      <c r="B7" s="284"/>
      <c r="C7" s="284"/>
      <c r="D7" s="407"/>
      <c r="E7" s="284"/>
      <c r="F7" s="284"/>
      <c r="G7" s="284"/>
      <c r="H7" s="284"/>
    </row>
    <row r="8" spans="1:14" x14ac:dyDescent="0.2">
      <c r="A8" s="2" t="s">
        <v>6</v>
      </c>
      <c r="B8" s="460" t="str">
        <f>ENTE!D8</f>
        <v>UNIDAD DE SERVICIOS PARA LA EDUCACIÓN BÁSICA EN EL ESTADO DE QUERÉTARO</v>
      </c>
      <c r="C8" s="460"/>
      <c r="D8" s="460"/>
      <c r="E8" s="460"/>
      <c r="F8" s="460"/>
      <c r="G8" s="460"/>
      <c r="H8" s="460"/>
      <c r="I8" s="7"/>
    </row>
    <row r="9" spans="1:14" x14ac:dyDescent="0.2">
      <c r="B9" s="4"/>
    </row>
    <row r="10" spans="1:14" ht="28.5" customHeight="1" x14ac:dyDescent="0.2">
      <c r="A10" s="208" t="s">
        <v>1032</v>
      </c>
      <c r="B10" s="208" t="s">
        <v>1033</v>
      </c>
      <c r="C10" s="219" t="s">
        <v>1034</v>
      </c>
      <c r="D10" s="219" t="str">
        <f>"Saldo Final al "&amp;TEXT(INDEX(Periodos,ENTE!D18,1),"dd")&amp;" de "&amp;TEXT(INDEX(Periodos,ENTE!D18,1),"mmmm")&amp;" del 2017"&amp;""</f>
        <v>Saldo Final al 31 de diciembre del 2017</v>
      </c>
      <c r="E10" s="219" t="s">
        <v>1069</v>
      </c>
      <c r="F10" s="219" t="str">
        <f>"Total de cargos al "&amp;TEXT(INDEX(Periodos,ENTE!D18,1),"dd")&amp;" de "&amp;TEXT(INDEX(Periodos,ENTE!D18,1),"mmmm")&amp;" del "&amp;TEXT(INDEX(Periodos,ENTE!D18,1),"aaaa")&amp;""</f>
        <v>Total de cargos al 31 de diciembre del 2018</v>
      </c>
      <c r="G10" s="219" t="str">
        <f>"Total de abonos al "&amp;TEXT(INDEX(Periodos,ENTE!D18,1),"dd")&amp;" de "&amp;TEXT(INDEX(Periodos,ENTE!D18,1),"mmmm")&amp;" del "&amp;TEXT(INDEX(Periodos,ENTE!D18,1),"aaaa")&amp;""</f>
        <v>Total de abonos al 31 de diciembre del 2018</v>
      </c>
      <c r="H10" s="220" t="s">
        <v>1070</v>
      </c>
      <c r="I10" s="8"/>
    </row>
    <row r="11" spans="1:14" x14ac:dyDescent="0.2">
      <c r="A11" s="9">
        <v>11111</v>
      </c>
      <c r="B11" s="1" t="s">
        <v>7</v>
      </c>
      <c r="C11" s="207">
        <v>0</v>
      </c>
      <c r="D11" s="207">
        <v>0</v>
      </c>
      <c r="E11" s="207">
        <v>0</v>
      </c>
      <c r="F11" s="207">
        <v>9150</v>
      </c>
      <c r="G11" s="207">
        <v>9150</v>
      </c>
      <c r="H11" s="10">
        <f>ROUND(E11+F11-G11,2)</f>
        <v>0</v>
      </c>
      <c r="I11" s="10"/>
      <c r="K11" s="11"/>
      <c r="L11" s="11"/>
      <c r="M11" s="11"/>
    </row>
    <row r="12" spans="1:14" x14ac:dyDescent="0.2">
      <c r="A12" s="9">
        <v>11112</v>
      </c>
      <c r="B12" s="1" t="s">
        <v>8</v>
      </c>
      <c r="C12" s="207">
        <v>0</v>
      </c>
      <c r="D12" s="207">
        <v>0</v>
      </c>
      <c r="E12" s="207">
        <v>0</v>
      </c>
      <c r="F12" s="207">
        <v>0</v>
      </c>
      <c r="G12" s="207">
        <v>0</v>
      </c>
      <c r="H12" s="10">
        <f>ROUND(E12+F12-G12,2)</f>
        <v>0</v>
      </c>
      <c r="I12" s="10"/>
      <c r="K12" s="11"/>
      <c r="L12" s="11"/>
      <c r="M12" s="11"/>
    </row>
    <row r="13" spans="1:14" x14ac:dyDescent="0.2">
      <c r="A13" s="9">
        <v>11121</v>
      </c>
      <c r="B13" s="1" t="s">
        <v>9</v>
      </c>
      <c r="C13" s="207">
        <v>30045562.309999999</v>
      </c>
      <c r="D13" s="207">
        <v>12181117.210000001</v>
      </c>
      <c r="E13" s="207">
        <v>12181117.210000001</v>
      </c>
      <c r="F13" s="207">
        <v>9691710191.6800003</v>
      </c>
      <c r="G13" s="207">
        <v>9695639026.8700008</v>
      </c>
      <c r="H13" s="10">
        <f t="shared" ref="H13:H76" si="0">ROUND(E13+F13-G13,2)</f>
        <v>8252282.0199999996</v>
      </c>
      <c r="I13" s="10"/>
      <c r="K13" s="11"/>
      <c r="L13" s="11"/>
      <c r="M13" s="11"/>
    </row>
    <row r="14" spans="1:14" x14ac:dyDescent="0.2">
      <c r="A14" s="9">
        <v>11122</v>
      </c>
      <c r="B14" s="1" t="s">
        <v>10</v>
      </c>
      <c r="C14" s="207">
        <v>0</v>
      </c>
      <c r="D14" s="207">
        <v>0</v>
      </c>
      <c r="E14" s="207">
        <v>0</v>
      </c>
      <c r="F14" s="207">
        <v>0</v>
      </c>
      <c r="G14" s="207">
        <v>0</v>
      </c>
      <c r="H14" s="10">
        <f t="shared" si="0"/>
        <v>0</v>
      </c>
      <c r="I14" s="10"/>
      <c r="K14" s="11"/>
      <c r="L14" s="11"/>
      <c r="M14" s="11"/>
    </row>
    <row r="15" spans="1:14" x14ac:dyDescent="0.2">
      <c r="A15" s="9">
        <v>11131</v>
      </c>
      <c r="B15" s="1" t="s">
        <v>9</v>
      </c>
      <c r="C15" s="207">
        <v>0</v>
      </c>
      <c r="D15" s="207">
        <v>0</v>
      </c>
      <c r="E15" s="207">
        <v>0</v>
      </c>
      <c r="F15" s="207">
        <v>0</v>
      </c>
      <c r="G15" s="207">
        <v>0</v>
      </c>
      <c r="H15" s="10">
        <f t="shared" si="0"/>
        <v>0</v>
      </c>
      <c r="I15" s="10"/>
      <c r="K15" s="11"/>
      <c r="L15" s="11"/>
      <c r="M15" s="11"/>
      <c r="N15" s="11"/>
    </row>
    <row r="16" spans="1:14" x14ac:dyDescent="0.2">
      <c r="A16" s="9">
        <v>11132</v>
      </c>
      <c r="B16" s="1" t="s">
        <v>10</v>
      </c>
      <c r="C16" s="207">
        <v>0</v>
      </c>
      <c r="D16" s="207">
        <v>0</v>
      </c>
      <c r="E16" s="207">
        <v>0</v>
      </c>
      <c r="F16" s="207">
        <v>0</v>
      </c>
      <c r="G16" s="207">
        <v>0</v>
      </c>
      <c r="H16" s="10">
        <f t="shared" si="0"/>
        <v>0</v>
      </c>
      <c r="I16" s="10"/>
      <c r="K16" s="11"/>
      <c r="L16" s="11"/>
      <c r="M16" s="11"/>
    </row>
    <row r="17" spans="1:13" x14ac:dyDescent="0.2">
      <c r="A17" s="130">
        <v>11141</v>
      </c>
      <c r="B17" s="23" t="s">
        <v>11</v>
      </c>
      <c r="C17" s="207">
        <v>0</v>
      </c>
      <c r="D17" s="207">
        <v>0</v>
      </c>
      <c r="E17" s="207">
        <v>0</v>
      </c>
      <c r="F17" s="207">
        <v>7586913188.5299997</v>
      </c>
      <c r="G17" s="207">
        <v>7586913188.5299997</v>
      </c>
      <c r="H17" s="10">
        <f t="shared" si="0"/>
        <v>0</v>
      </c>
      <c r="I17" s="10"/>
      <c r="K17" s="11"/>
      <c r="L17" s="11"/>
      <c r="M17" s="11"/>
    </row>
    <row r="18" spans="1:13" x14ac:dyDescent="0.2">
      <c r="A18" s="130">
        <v>11142</v>
      </c>
      <c r="B18" s="23" t="s">
        <v>12</v>
      </c>
      <c r="C18" s="207">
        <v>0</v>
      </c>
      <c r="D18" s="207">
        <v>0</v>
      </c>
      <c r="E18" s="207">
        <v>0</v>
      </c>
      <c r="F18" s="207">
        <v>0</v>
      </c>
      <c r="G18" s="207">
        <v>0</v>
      </c>
      <c r="H18" s="10">
        <f t="shared" si="0"/>
        <v>0</v>
      </c>
      <c r="I18" s="10"/>
      <c r="K18" s="11"/>
      <c r="L18" s="11"/>
      <c r="M18" s="11"/>
    </row>
    <row r="19" spans="1:13" x14ac:dyDescent="0.2">
      <c r="A19" s="130">
        <v>11151</v>
      </c>
      <c r="B19" s="23" t="s">
        <v>13</v>
      </c>
      <c r="C19" s="207">
        <v>267330</v>
      </c>
      <c r="D19" s="207">
        <v>200000</v>
      </c>
      <c r="E19" s="207">
        <v>200000</v>
      </c>
      <c r="F19" s="207">
        <v>345000</v>
      </c>
      <c r="G19" s="207">
        <v>340000</v>
      </c>
      <c r="H19" s="10">
        <f t="shared" si="0"/>
        <v>205000</v>
      </c>
      <c r="I19" s="10"/>
      <c r="K19" s="11"/>
      <c r="L19" s="11"/>
      <c r="M19" s="11"/>
    </row>
    <row r="20" spans="1:13" x14ac:dyDescent="0.2">
      <c r="A20" s="130">
        <v>11161</v>
      </c>
      <c r="B20" s="23" t="s">
        <v>14</v>
      </c>
      <c r="C20" s="207">
        <v>0</v>
      </c>
      <c r="D20" s="207">
        <v>0</v>
      </c>
      <c r="E20" s="207">
        <v>0</v>
      </c>
      <c r="F20" s="207">
        <v>0</v>
      </c>
      <c r="G20" s="207">
        <v>0</v>
      </c>
      <c r="H20" s="10">
        <f t="shared" si="0"/>
        <v>0</v>
      </c>
      <c r="I20" s="10"/>
      <c r="K20" s="11"/>
      <c r="L20" s="11"/>
      <c r="M20" s="11"/>
    </row>
    <row r="21" spans="1:13" x14ac:dyDescent="0.2">
      <c r="A21" s="130">
        <v>11162</v>
      </c>
      <c r="B21" s="23" t="s">
        <v>15</v>
      </c>
      <c r="C21" s="207">
        <v>0</v>
      </c>
      <c r="D21" s="207">
        <v>0</v>
      </c>
      <c r="E21" s="207">
        <v>0</v>
      </c>
      <c r="F21" s="207">
        <v>0</v>
      </c>
      <c r="G21" s="207">
        <v>0</v>
      </c>
      <c r="H21" s="10">
        <f t="shared" si="0"/>
        <v>0</v>
      </c>
      <c r="I21" s="10"/>
      <c r="K21" s="11"/>
      <c r="L21" s="11"/>
      <c r="M21" s="11"/>
    </row>
    <row r="22" spans="1:13" x14ac:dyDescent="0.2">
      <c r="A22" s="130">
        <v>11163</v>
      </c>
      <c r="B22" s="23" t="s">
        <v>16</v>
      </c>
      <c r="C22" s="207">
        <v>0</v>
      </c>
      <c r="D22" s="207">
        <v>0</v>
      </c>
      <c r="E22" s="207">
        <v>0</v>
      </c>
      <c r="F22" s="207">
        <v>0</v>
      </c>
      <c r="G22" s="207">
        <v>0</v>
      </c>
      <c r="H22" s="10">
        <f t="shared" si="0"/>
        <v>0</v>
      </c>
      <c r="I22" s="10"/>
      <c r="K22" s="11"/>
      <c r="L22" s="11"/>
      <c r="M22" s="11"/>
    </row>
    <row r="23" spans="1:13" x14ac:dyDescent="0.2">
      <c r="A23" s="130">
        <v>11164</v>
      </c>
      <c r="B23" s="23" t="s">
        <v>17</v>
      </c>
      <c r="C23" s="207">
        <v>0</v>
      </c>
      <c r="D23" s="207">
        <v>0</v>
      </c>
      <c r="E23" s="207">
        <v>0</v>
      </c>
      <c r="F23" s="207">
        <v>0</v>
      </c>
      <c r="G23" s="207">
        <v>0</v>
      </c>
      <c r="H23" s="10">
        <f t="shared" si="0"/>
        <v>0</v>
      </c>
      <c r="I23" s="10"/>
      <c r="K23" s="11"/>
      <c r="L23" s="11"/>
      <c r="M23" s="11"/>
    </row>
    <row r="24" spans="1:13" x14ac:dyDescent="0.2">
      <c r="A24" s="130">
        <v>11169</v>
      </c>
      <c r="B24" s="23" t="s">
        <v>18</v>
      </c>
      <c r="C24" s="207">
        <v>0</v>
      </c>
      <c r="D24" s="207">
        <v>0</v>
      </c>
      <c r="E24" s="207">
        <v>0</v>
      </c>
      <c r="F24" s="207">
        <v>0</v>
      </c>
      <c r="G24" s="207">
        <v>0</v>
      </c>
      <c r="H24" s="10">
        <f t="shared" si="0"/>
        <v>0</v>
      </c>
      <c r="I24" s="10"/>
      <c r="K24" s="11"/>
      <c r="L24" s="11"/>
      <c r="M24" s="11"/>
    </row>
    <row r="25" spans="1:13" x14ac:dyDescent="0.2">
      <c r="A25" s="130">
        <v>11191</v>
      </c>
      <c r="B25" s="23" t="s">
        <v>19</v>
      </c>
      <c r="C25" s="207">
        <v>0</v>
      </c>
      <c r="D25" s="207">
        <v>0</v>
      </c>
      <c r="E25" s="207">
        <v>0</v>
      </c>
      <c r="F25" s="207">
        <v>130</v>
      </c>
      <c r="G25" s="207">
        <v>130</v>
      </c>
      <c r="H25" s="10">
        <f t="shared" si="0"/>
        <v>0</v>
      </c>
      <c r="I25" s="10"/>
      <c r="K25" s="11"/>
      <c r="L25" s="11"/>
      <c r="M25" s="11"/>
    </row>
    <row r="26" spans="1:13" x14ac:dyDescent="0.2">
      <c r="A26" s="130">
        <v>11211</v>
      </c>
      <c r="B26" s="23" t="s">
        <v>20</v>
      </c>
      <c r="C26" s="207">
        <v>0</v>
      </c>
      <c r="D26" s="207">
        <v>0</v>
      </c>
      <c r="E26" s="207">
        <v>0</v>
      </c>
      <c r="F26" s="207">
        <v>34716541.939999998</v>
      </c>
      <c r="G26" s="207">
        <v>34716541.939999998</v>
      </c>
      <c r="H26" s="10">
        <f t="shared" si="0"/>
        <v>0</v>
      </c>
      <c r="I26" s="10"/>
      <c r="K26" s="11"/>
      <c r="L26" s="11"/>
      <c r="M26" s="11"/>
    </row>
    <row r="27" spans="1:13" x14ac:dyDescent="0.2">
      <c r="A27" s="130">
        <v>11212</v>
      </c>
      <c r="B27" s="23" t="s">
        <v>21</v>
      </c>
      <c r="C27" s="207">
        <v>0</v>
      </c>
      <c r="D27" s="207">
        <v>0</v>
      </c>
      <c r="E27" s="207">
        <v>0</v>
      </c>
      <c r="F27" s="207">
        <v>0</v>
      </c>
      <c r="G27" s="207">
        <v>0</v>
      </c>
      <c r="H27" s="10">
        <f t="shared" si="0"/>
        <v>0</v>
      </c>
      <c r="I27" s="10"/>
      <c r="K27" s="11"/>
      <c r="L27" s="11"/>
      <c r="M27" s="11"/>
    </row>
    <row r="28" spans="1:13" x14ac:dyDescent="0.2">
      <c r="A28" s="130">
        <v>11213</v>
      </c>
      <c r="B28" s="23" t="s">
        <v>22</v>
      </c>
      <c r="C28" s="207">
        <v>0</v>
      </c>
      <c r="D28" s="207">
        <v>0</v>
      </c>
      <c r="E28" s="207">
        <v>0</v>
      </c>
      <c r="F28" s="207">
        <v>0</v>
      </c>
      <c r="G28" s="207">
        <v>0</v>
      </c>
      <c r="H28" s="10">
        <f t="shared" si="0"/>
        <v>0</v>
      </c>
      <c r="I28" s="10"/>
      <c r="K28" s="11"/>
      <c r="L28" s="11"/>
      <c r="M28" s="11"/>
    </row>
    <row r="29" spans="1:13" x14ac:dyDescent="0.2">
      <c r="A29" s="130">
        <v>11221</v>
      </c>
      <c r="B29" s="23" t="s">
        <v>23</v>
      </c>
      <c r="C29" s="207">
        <v>0.69</v>
      </c>
      <c r="D29" s="207">
        <v>0</v>
      </c>
      <c r="E29" s="207">
        <v>0</v>
      </c>
      <c r="F29" s="207">
        <v>4302812.3600000003</v>
      </c>
      <c r="G29" s="207">
        <v>4302812.3600000003</v>
      </c>
      <c r="H29" s="10">
        <f t="shared" si="0"/>
        <v>0</v>
      </c>
      <c r="I29" s="10"/>
      <c r="K29" s="11"/>
      <c r="L29" s="11"/>
      <c r="M29" s="11"/>
    </row>
    <row r="30" spans="1:13" x14ac:dyDescent="0.2">
      <c r="A30" s="130">
        <v>11222</v>
      </c>
      <c r="B30" s="23" t="s">
        <v>24</v>
      </c>
      <c r="C30" s="207">
        <v>0</v>
      </c>
      <c r="D30" s="207">
        <v>0</v>
      </c>
      <c r="E30" s="207">
        <v>0</v>
      </c>
      <c r="F30" s="207">
        <v>0</v>
      </c>
      <c r="G30" s="207">
        <v>0</v>
      </c>
      <c r="H30" s="10">
        <f t="shared" si="0"/>
        <v>0</v>
      </c>
      <c r="I30" s="10"/>
      <c r="K30" s="11"/>
      <c r="L30" s="11"/>
      <c r="M30" s="11"/>
    </row>
    <row r="31" spans="1:13" x14ac:dyDescent="0.2">
      <c r="A31" s="130">
        <v>11223</v>
      </c>
      <c r="B31" s="23" t="s">
        <v>25</v>
      </c>
      <c r="C31" s="207">
        <v>0</v>
      </c>
      <c r="D31" s="207">
        <v>0</v>
      </c>
      <c r="E31" s="207">
        <v>0</v>
      </c>
      <c r="F31" s="207">
        <v>0</v>
      </c>
      <c r="G31" s="207">
        <v>0</v>
      </c>
      <c r="H31" s="10">
        <f t="shared" si="0"/>
        <v>0</v>
      </c>
      <c r="I31" s="10"/>
      <c r="K31" s="11"/>
      <c r="L31" s="11"/>
      <c r="M31" s="11"/>
    </row>
    <row r="32" spans="1:13" x14ac:dyDescent="0.2">
      <c r="A32" s="130">
        <v>11224</v>
      </c>
      <c r="B32" s="23" t="s">
        <v>26</v>
      </c>
      <c r="C32" s="207">
        <v>0</v>
      </c>
      <c r="D32" s="207">
        <v>0</v>
      </c>
      <c r="E32" s="207">
        <v>0</v>
      </c>
      <c r="F32" s="207">
        <v>0</v>
      </c>
      <c r="G32" s="207">
        <v>0</v>
      </c>
      <c r="H32" s="10">
        <f t="shared" si="0"/>
        <v>0</v>
      </c>
      <c r="I32" s="10"/>
      <c r="K32" s="11"/>
      <c r="L32" s="11"/>
      <c r="M32" s="11"/>
    </row>
    <row r="33" spans="1:13" x14ac:dyDescent="0.2">
      <c r="A33" s="130">
        <v>11225</v>
      </c>
      <c r="B33" s="23" t="s">
        <v>27</v>
      </c>
      <c r="C33" s="207">
        <v>0</v>
      </c>
      <c r="D33" s="207">
        <v>0</v>
      </c>
      <c r="E33" s="207">
        <v>0</v>
      </c>
      <c r="F33" s="207">
        <v>0</v>
      </c>
      <c r="G33" s="207">
        <v>0</v>
      </c>
      <c r="H33" s="10">
        <f t="shared" si="0"/>
        <v>0</v>
      </c>
      <c r="I33" s="10"/>
      <c r="K33" s="11"/>
      <c r="L33" s="11"/>
      <c r="M33" s="11"/>
    </row>
    <row r="34" spans="1:13" x14ac:dyDescent="0.2">
      <c r="A34" s="130">
        <v>11226</v>
      </c>
      <c r="B34" s="23" t="s">
        <v>28</v>
      </c>
      <c r="C34" s="207">
        <v>0</v>
      </c>
      <c r="D34" s="207">
        <v>0</v>
      </c>
      <c r="E34" s="207">
        <v>0</v>
      </c>
      <c r="F34" s="207">
        <v>0</v>
      </c>
      <c r="G34" s="207">
        <v>0</v>
      </c>
      <c r="H34" s="10">
        <f t="shared" si="0"/>
        <v>0</v>
      </c>
      <c r="I34" s="10"/>
      <c r="K34" s="11"/>
      <c r="L34" s="11"/>
      <c r="M34" s="11"/>
    </row>
    <row r="35" spans="1:13" x14ac:dyDescent="0.2">
      <c r="A35" s="130">
        <v>11227</v>
      </c>
      <c r="B35" s="23" t="s">
        <v>29</v>
      </c>
      <c r="C35" s="207">
        <v>0</v>
      </c>
      <c r="D35" s="207">
        <v>0</v>
      </c>
      <c r="E35" s="207">
        <v>0</v>
      </c>
      <c r="F35" s="207">
        <v>0</v>
      </c>
      <c r="G35" s="207">
        <v>0</v>
      </c>
      <c r="H35" s="10">
        <f t="shared" si="0"/>
        <v>0</v>
      </c>
      <c r="I35" s="10"/>
      <c r="K35" s="11"/>
      <c r="L35" s="11"/>
      <c r="M35" s="11"/>
    </row>
    <row r="36" spans="1:13" x14ac:dyDescent="0.2">
      <c r="A36" s="130">
        <v>11228</v>
      </c>
      <c r="B36" s="23" t="s">
        <v>30</v>
      </c>
      <c r="C36" s="207">
        <v>0</v>
      </c>
      <c r="D36" s="207">
        <v>0</v>
      </c>
      <c r="E36" s="207">
        <v>0</v>
      </c>
      <c r="F36" s="207">
        <v>0</v>
      </c>
      <c r="G36" s="207">
        <v>0</v>
      </c>
      <c r="H36" s="10">
        <f t="shared" si="0"/>
        <v>0</v>
      </c>
      <c r="I36" s="10"/>
      <c r="K36" s="11"/>
      <c r="L36" s="11"/>
      <c r="M36" s="11"/>
    </row>
    <row r="37" spans="1:13" x14ac:dyDescent="0.2">
      <c r="A37" s="130">
        <v>11229</v>
      </c>
      <c r="B37" s="23" t="s">
        <v>31</v>
      </c>
      <c r="C37" s="207">
        <v>0</v>
      </c>
      <c r="D37" s="207">
        <v>0</v>
      </c>
      <c r="E37" s="207">
        <v>0</v>
      </c>
      <c r="F37" s="207">
        <f>2534543799.06+5226876.45</f>
        <v>2539770675.5099998</v>
      </c>
      <c r="G37" s="207">
        <f>2534543799.06+5226876.45</f>
        <v>2539770675.5099998</v>
      </c>
      <c r="H37" s="10">
        <f t="shared" si="0"/>
        <v>0</v>
      </c>
      <c r="I37" s="10"/>
      <c r="K37" s="11"/>
      <c r="L37" s="11"/>
      <c r="M37" s="11"/>
    </row>
    <row r="38" spans="1:13" x14ac:dyDescent="0.2">
      <c r="A38" s="130">
        <v>11231</v>
      </c>
      <c r="B38" s="23" t="s">
        <v>32</v>
      </c>
      <c r="C38" s="207">
        <v>3512452.43</v>
      </c>
      <c r="D38" s="207">
        <v>3587045.65</v>
      </c>
      <c r="E38" s="207">
        <v>3587045.65</v>
      </c>
      <c r="F38" s="207">
        <v>20653529272.93</v>
      </c>
      <c r="G38" s="207">
        <v>20656973320.200001</v>
      </c>
      <c r="H38" s="10">
        <f t="shared" si="0"/>
        <v>142998.38</v>
      </c>
      <c r="I38" s="10"/>
      <c r="K38" s="11"/>
      <c r="L38" s="11"/>
      <c r="M38" s="11"/>
    </row>
    <row r="39" spans="1:13" x14ac:dyDescent="0.2">
      <c r="A39" s="130">
        <v>11232</v>
      </c>
      <c r="B39" s="23" t="s">
        <v>1084</v>
      </c>
      <c r="C39" s="207">
        <v>0</v>
      </c>
      <c r="D39" s="207">
        <v>0</v>
      </c>
      <c r="E39" s="207">
        <v>0</v>
      </c>
      <c r="F39" s="207">
        <v>0</v>
      </c>
      <c r="G39" s="207">
        <v>0</v>
      </c>
      <c r="H39" s="10">
        <f t="shared" si="0"/>
        <v>0</v>
      </c>
      <c r="I39" s="10"/>
      <c r="K39" s="11"/>
      <c r="L39" s="11"/>
      <c r="M39" s="11"/>
    </row>
    <row r="40" spans="1:13" x14ac:dyDescent="0.2">
      <c r="A40" s="130">
        <v>11241</v>
      </c>
      <c r="B40" s="23" t="s">
        <v>33</v>
      </c>
      <c r="C40" s="207">
        <v>0</v>
      </c>
      <c r="D40" s="207">
        <v>0</v>
      </c>
      <c r="E40" s="207">
        <v>0</v>
      </c>
      <c r="F40" s="207">
        <v>0</v>
      </c>
      <c r="G40" s="207">
        <v>0</v>
      </c>
      <c r="H40" s="10">
        <f t="shared" si="0"/>
        <v>0</v>
      </c>
      <c r="I40" s="10"/>
      <c r="K40" s="11"/>
      <c r="L40" s="11"/>
      <c r="M40" s="11"/>
    </row>
    <row r="41" spans="1:13" x14ac:dyDescent="0.2">
      <c r="A41" s="130">
        <v>11242</v>
      </c>
      <c r="B41" s="23" t="s">
        <v>34</v>
      </c>
      <c r="C41" s="207">
        <v>0</v>
      </c>
      <c r="D41" s="207">
        <v>0</v>
      </c>
      <c r="E41" s="207">
        <v>0</v>
      </c>
      <c r="F41" s="207">
        <v>0</v>
      </c>
      <c r="G41" s="207">
        <v>0</v>
      </c>
      <c r="H41" s="10">
        <f t="shared" si="0"/>
        <v>0</v>
      </c>
      <c r="I41" s="10"/>
      <c r="K41" s="11"/>
      <c r="L41" s="11"/>
      <c r="M41" s="11"/>
    </row>
    <row r="42" spans="1:13" x14ac:dyDescent="0.2">
      <c r="A42" s="130">
        <v>11243</v>
      </c>
      <c r="B42" s="23" t="s">
        <v>35</v>
      </c>
      <c r="C42" s="207">
        <v>0</v>
      </c>
      <c r="D42" s="207">
        <v>0</v>
      </c>
      <c r="E42" s="207">
        <v>0</v>
      </c>
      <c r="F42" s="207">
        <v>0</v>
      </c>
      <c r="G42" s="207">
        <v>0</v>
      </c>
      <c r="H42" s="10">
        <f t="shared" si="0"/>
        <v>0</v>
      </c>
      <c r="I42" s="10"/>
      <c r="K42" s="11"/>
      <c r="L42" s="11"/>
      <c r="M42" s="11"/>
    </row>
    <row r="43" spans="1:13" x14ac:dyDescent="0.2">
      <c r="A43" s="130">
        <v>11244</v>
      </c>
      <c r="B43" s="23" t="s">
        <v>36</v>
      </c>
      <c r="C43" s="207">
        <v>0</v>
      </c>
      <c r="D43" s="207">
        <v>0</v>
      </c>
      <c r="E43" s="207">
        <v>0</v>
      </c>
      <c r="F43" s="207">
        <v>0</v>
      </c>
      <c r="G43" s="207">
        <v>0</v>
      </c>
      <c r="H43" s="10">
        <f t="shared" si="0"/>
        <v>0</v>
      </c>
      <c r="I43" s="10"/>
      <c r="K43" s="11"/>
      <c r="L43" s="11"/>
      <c r="M43" s="11"/>
    </row>
    <row r="44" spans="1:13" x14ac:dyDescent="0.2">
      <c r="A44" s="130">
        <v>11245</v>
      </c>
      <c r="B44" s="23" t="s">
        <v>37</v>
      </c>
      <c r="C44" s="207">
        <v>0</v>
      </c>
      <c r="D44" s="207">
        <v>0</v>
      </c>
      <c r="E44" s="207">
        <v>0</v>
      </c>
      <c r="F44" s="207">
        <v>0</v>
      </c>
      <c r="G44" s="207">
        <v>0</v>
      </c>
      <c r="H44" s="10">
        <f t="shared" si="0"/>
        <v>0</v>
      </c>
      <c r="I44" s="10"/>
      <c r="K44" s="11"/>
      <c r="L44" s="11"/>
      <c r="M44" s="11"/>
    </row>
    <row r="45" spans="1:13" x14ac:dyDescent="0.2">
      <c r="A45" s="130">
        <v>11246</v>
      </c>
      <c r="B45" s="23" t="s">
        <v>38</v>
      </c>
      <c r="C45" s="207">
        <v>0</v>
      </c>
      <c r="D45" s="207">
        <v>0</v>
      </c>
      <c r="E45" s="207">
        <v>0</v>
      </c>
      <c r="F45" s="207">
        <v>0</v>
      </c>
      <c r="G45" s="207">
        <v>0</v>
      </c>
      <c r="H45" s="10">
        <f t="shared" si="0"/>
        <v>0</v>
      </c>
      <c r="I45" s="10"/>
      <c r="K45" s="11"/>
      <c r="L45" s="11"/>
      <c r="M45" s="11"/>
    </row>
    <row r="46" spans="1:13" x14ac:dyDescent="0.2">
      <c r="A46" s="130">
        <v>11247</v>
      </c>
      <c r="B46" s="23" t="s">
        <v>39</v>
      </c>
      <c r="C46" s="207">
        <v>0</v>
      </c>
      <c r="D46" s="207">
        <v>0</v>
      </c>
      <c r="E46" s="207">
        <v>0</v>
      </c>
      <c r="F46" s="207">
        <v>0</v>
      </c>
      <c r="G46" s="207">
        <v>0</v>
      </c>
      <c r="H46" s="10">
        <f t="shared" si="0"/>
        <v>0</v>
      </c>
      <c r="I46" s="10"/>
      <c r="K46" s="11"/>
      <c r="L46" s="11"/>
      <c r="M46" s="11"/>
    </row>
    <row r="47" spans="1:13" x14ac:dyDescent="0.2">
      <c r="A47" s="130">
        <v>11248</v>
      </c>
      <c r="B47" s="23" t="s">
        <v>40</v>
      </c>
      <c r="C47" s="207">
        <v>0</v>
      </c>
      <c r="D47" s="207">
        <v>0</v>
      </c>
      <c r="E47" s="207">
        <v>0</v>
      </c>
      <c r="F47" s="207">
        <v>0</v>
      </c>
      <c r="G47" s="207">
        <v>0</v>
      </c>
      <c r="H47" s="10">
        <f t="shared" si="0"/>
        <v>0</v>
      </c>
      <c r="I47" s="10"/>
      <c r="K47" s="11"/>
      <c r="L47" s="11"/>
      <c r="M47" s="11"/>
    </row>
    <row r="48" spans="1:13" x14ac:dyDescent="0.2">
      <c r="A48" s="130">
        <v>11249</v>
      </c>
      <c r="B48" s="23" t="s">
        <v>41</v>
      </c>
      <c r="C48" s="207">
        <v>0</v>
      </c>
      <c r="D48" s="207">
        <v>0</v>
      </c>
      <c r="E48" s="207">
        <v>0</v>
      </c>
      <c r="F48" s="207">
        <v>0</v>
      </c>
      <c r="G48" s="207">
        <v>0</v>
      </c>
      <c r="H48" s="10">
        <f t="shared" si="0"/>
        <v>0</v>
      </c>
      <c r="I48" s="10"/>
      <c r="K48" s="11"/>
      <c r="L48" s="11"/>
      <c r="M48" s="11"/>
    </row>
    <row r="49" spans="1:13" x14ac:dyDescent="0.2">
      <c r="A49" s="130">
        <v>11251</v>
      </c>
      <c r="B49" s="23" t="s">
        <v>42</v>
      </c>
      <c r="C49" s="207">
        <v>0</v>
      </c>
      <c r="D49" s="207">
        <v>0</v>
      </c>
      <c r="E49" s="207">
        <v>0</v>
      </c>
      <c r="F49" s="207">
        <v>0</v>
      </c>
      <c r="G49" s="207">
        <v>0</v>
      </c>
      <c r="H49" s="10">
        <f t="shared" si="0"/>
        <v>0</v>
      </c>
      <c r="I49" s="10"/>
      <c r="K49" s="11"/>
      <c r="L49" s="11"/>
      <c r="M49" s="11"/>
    </row>
    <row r="50" spans="1:13" x14ac:dyDescent="0.2">
      <c r="A50" s="130">
        <v>11252</v>
      </c>
      <c r="B50" s="23" t="s">
        <v>43</v>
      </c>
      <c r="C50" s="207">
        <v>0</v>
      </c>
      <c r="D50" s="207">
        <v>0</v>
      </c>
      <c r="E50" s="207">
        <v>0</v>
      </c>
      <c r="F50" s="207">
        <v>0</v>
      </c>
      <c r="G50" s="207">
        <v>0</v>
      </c>
      <c r="H50" s="10">
        <f t="shared" si="0"/>
        <v>0</v>
      </c>
      <c r="I50" s="10"/>
      <c r="K50" s="11"/>
      <c r="L50" s="11"/>
      <c r="M50" s="11"/>
    </row>
    <row r="51" spans="1:13" x14ac:dyDescent="0.2">
      <c r="A51" s="130">
        <v>11253</v>
      </c>
      <c r="B51" s="23" t="s">
        <v>44</v>
      </c>
      <c r="C51" s="207">
        <v>0</v>
      </c>
      <c r="D51" s="207">
        <v>0</v>
      </c>
      <c r="E51" s="207">
        <v>0</v>
      </c>
      <c r="F51" s="207">
        <v>0</v>
      </c>
      <c r="G51" s="207">
        <v>0</v>
      </c>
      <c r="H51" s="10">
        <f t="shared" si="0"/>
        <v>0</v>
      </c>
      <c r="I51" s="10"/>
      <c r="K51" s="11"/>
      <c r="L51" s="11"/>
      <c r="M51" s="11"/>
    </row>
    <row r="52" spans="1:13" x14ac:dyDescent="0.2">
      <c r="A52" s="130">
        <v>11254</v>
      </c>
      <c r="B52" s="23" t="s">
        <v>45</v>
      </c>
      <c r="C52" s="207">
        <v>0</v>
      </c>
      <c r="D52" s="207">
        <v>0</v>
      </c>
      <c r="E52" s="207">
        <v>0</v>
      </c>
      <c r="F52" s="207">
        <v>0</v>
      </c>
      <c r="G52" s="207">
        <v>0</v>
      </c>
      <c r="H52" s="10">
        <f t="shared" si="0"/>
        <v>0</v>
      </c>
      <c r="I52" s="10"/>
      <c r="K52" s="11"/>
      <c r="L52" s="11"/>
      <c r="M52" s="11"/>
    </row>
    <row r="53" spans="1:13" x14ac:dyDescent="0.2">
      <c r="A53" s="130">
        <v>11261</v>
      </c>
      <c r="B53" s="23" t="s">
        <v>46</v>
      </c>
      <c r="C53" s="207">
        <v>0</v>
      </c>
      <c r="D53" s="207">
        <v>0</v>
      </c>
      <c r="E53" s="207">
        <v>0</v>
      </c>
      <c r="F53" s="207">
        <v>0</v>
      </c>
      <c r="G53" s="207">
        <v>0</v>
      </c>
      <c r="H53" s="10">
        <f t="shared" si="0"/>
        <v>0</v>
      </c>
      <c r="I53" s="10"/>
      <c r="K53" s="11"/>
      <c r="L53" s="11"/>
      <c r="M53" s="11"/>
    </row>
    <row r="54" spans="1:13" x14ac:dyDescent="0.2">
      <c r="A54" s="130">
        <v>11262</v>
      </c>
      <c r="B54" s="23" t="s">
        <v>47</v>
      </c>
      <c r="C54" s="207">
        <v>0</v>
      </c>
      <c r="D54" s="207">
        <v>0</v>
      </c>
      <c r="E54" s="207">
        <v>0</v>
      </c>
      <c r="F54" s="207">
        <v>0</v>
      </c>
      <c r="G54" s="207">
        <v>0</v>
      </c>
      <c r="H54" s="10">
        <f t="shared" si="0"/>
        <v>0</v>
      </c>
      <c r="I54" s="10"/>
      <c r="K54" s="11"/>
      <c r="L54" s="11"/>
      <c r="M54" s="11"/>
    </row>
    <row r="55" spans="1:13" x14ac:dyDescent="0.2">
      <c r="A55" s="130">
        <v>11263</v>
      </c>
      <c r="B55" s="23" t="s">
        <v>48</v>
      </c>
      <c r="C55" s="207">
        <v>0</v>
      </c>
      <c r="D55" s="207">
        <v>0</v>
      </c>
      <c r="E55" s="207">
        <v>0</v>
      </c>
      <c r="F55" s="207">
        <v>0</v>
      </c>
      <c r="G55" s="207">
        <v>0</v>
      </c>
      <c r="H55" s="10">
        <f t="shared" si="0"/>
        <v>0</v>
      </c>
      <c r="I55" s="10"/>
      <c r="K55" s="11"/>
      <c r="L55" s="11"/>
      <c r="M55" s="11"/>
    </row>
    <row r="56" spans="1:13" x14ac:dyDescent="0.2">
      <c r="A56" s="130">
        <v>11291</v>
      </c>
      <c r="B56" s="23" t="s">
        <v>49</v>
      </c>
      <c r="C56" s="207">
        <v>352993.15</v>
      </c>
      <c r="D56" s="207">
        <v>707068.46</v>
      </c>
      <c r="E56" s="207">
        <v>707068.46</v>
      </c>
      <c r="F56" s="207">
        <v>5657326.7400000002</v>
      </c>
      <c r="G56" s="207">
        <v>6166341.6500000004</v>
      </c>
      <c r="H56" s="10">
        <f>ROUND(E56+F56-G56,2)</f>
        <v>198053.55</v>
      </c>
      <c r="I56" s="10"/>
      <c r="K56" s="11"/>
      <c r="L56" s="11"/>
      <c r="M56" s="11"/>
    </row>
    <row r="57" spans="1:13" x14ac:dyDescent="0.2">
      <c r="A57" s="130">
        <v>11311</v>
      </c>
      <c r="B57" s="23" t="s">
        <v>50</v>
      </c>
      <c r="C57" s="207">
        <v>0</v>
      </c>
      <c r="D57" s="207">
        <v>0</v>
      </c>
      <c r="E57" s="207">
        <v>0</v>
      </c>
      <c r="F57" s="207">
        <v>21993252.289999999</v>
      </c>
      <c r="G57" s="207">
        <v>21993252.289999999</v>
      </c>
      <c r="H57" s="10">
        <f t="shared" si="0"/>
        <v>0</v>
      </c>
      <c r="I57" s="10"/>
      <c r="K57" s="11"/>
      <c r="L57" s="11"/>
      <c r="M57" s="11"/>
    </row>
    <row r="58" spans="1:13" x14ac:dyDescent="0.2">
      <c r="A58" s="130">
        <v>11312</v>
      </c>
      <c r="B58" s="23" t="s">
        <v>51</v>
      </c>
      <c r="C58" s="207">
        <v>0</v>
      </c>
      <c r="D58" s="207">
        <v>0</v>
      </c>
      <c r="E58" s="207">
        <v>0</v>
      </c>
      <c r="F58" s="207">
        <v>0</v>
      </c>
      <c r="G58" s="207">
        <v>0</v>
      </c>
      <c r="H58" s="10">
        <f t="shared" si="0"/>
        <v>0</v>
      </c>
      <c r="I58" s="10"/>
      <c r="K58" s="11"/>
      <c r="L58" s="11"/>
      <c r="M58" s="11"/>
    </row>
    <row r="59" spans="1:13" x14ac:dyDescent="0.2">
      <c r="A59" s="130">
        <v>11321</v>
      </c>
      <c r="B59" s="23" t="s">
        <v>52</v>
      </c>
      <c r="C59" s="207">
        <v>0</v>
      </c>
      <c r="D59" s="207">
        <v>0</v>
      </c>
      <c r="E59" s="207">
        <v>0</v>
      </c>
      <c r="F59" s="207">
        <v>1829214</v>
      </c>
      <c r="G59" s="207">
        <v>1829214</v>
      </c>
      <c r="H59" s="10">
        <f t="shared" si="0"/>
        <v>0</v>
      </c>
      <c r="I59" s="10"/>
      <c r="K59" s="11"/>
      <c r="L59" s="11"/>
      <c r="M59" s="11"/>
    </row>
    <row r="60" spans="1:13" x14ac:dyDescent="0.2">
      <c r="A60" s="130">
        <v>11322</v>
      </c>
      <c r="B60" s="23" t="s">
        <v>53</v>
      </c>
      <c r="C60" s="207">
        <v>0</v>
      </c>
      <c r="D60" s="207">
        <v>0</v>
      </c>
      <c r="E60" s="207">
        <v>0</v>
      </c>
      <c r="F60" s="207">
        <v>0</v>
      </c>
      <c r="G60" s="207">
        <v>0</v>
      </c>
      <c r="H60" s="10">
        <f t="shared" si="0"/>
        <v>0</v>
      </c>
      <c r="I60" s="10"/>
      <c r="K60" s="11"/>
      <c r="L60" s="11"/>
      <c r="M60" s="11"/>
    </row>
    <row r="61" spans="1:13" x14ac:dyDescent="0.2">
      <c r="A61" s="130">
        <v>11331</v>
      </c>
      <c r="B61" s="23" t="s">
        <v>54</v>
      </c>
      <c r="C61" s="207">
        <v>0</v>
      </c>
      <c r="D61" s="207">
        <v>0</v>
      </c>
      <c r="E61" s="207">
        <v>0</v>
      </c>
      <c r="F61" s="207">
        <v>4792033.1900000004</v>
      </c>
      <c r="G61" s="207">
        <v>4792033.1900000004</v>
      </c>
      <c r="H61" s="10">
        <f t="shared" si="0"/>
        <v>0</v>
      </c>
      <c r="I61" s="10"/>
      <c r="K61" s="11"/>
      <c r="L61" s="11"/>
      <c r="M61" s="11"/>
    </row>
    <row r="62" spans="1:13" x14ac:dyDescent="0.2">
      <c r="A62" s="130">
        <v>11341</v>
      </c>
      <c r="B62" s="23" t="s">
        <v>55</v>
      </c>
      <c r="C62" s="207">
        <v>0</v>
      </c>
      <c r="D62" s="207">
        <v>0</v>
      </c>
      <c r="E62" s="207">
        <v>0</v>
      </c>
      <c r="F62" s="207">
        <v>0</v>
      </c>
      <c r="G62" s="207">
        <v>0</v>
      </c>
      <c r="H62" s="10">
        <f t="shared" si="0"/>
        <v>0</v>
      </c>
      <c r="I62" s="10"/>
      <c r="K62" s="11"/>
      <c r="L62" s="11"/>
      <c r="M62" s="11"/>
    </row>
    <row r="63" spans="1:13" x14ac:dyDescent="0.2">
      <c r="A63" s="130">
        <v>11342</v>
      </c>
      <c r="B63" s="23" t="s">
        <v>56</v>
      </c>
      <c r="C63" s="207">
        <v>0</v>
      </c>
      <c r="D63" s="207">
        <v>0</v>
      </c>
      <c r="E63" s="207">
        <v>0</v>
      </c>
      <c r="F63" s="207">
        <v>0</v>
      </c>
      <c r="G63" s="207">
        <v>0</v>
      </c>
      <c r="H63" s="10">
        <f t="shared" si="0"/>
        <v>0</v>
      </c>
      <c r="I63" s="10"/>
      <c r="K63" s="11"/>
      <c r="L63" s="11"/>
      <c r="M63" s="11"/>
    </row>
    <row r="64" spans="1:13" x14ac:dyDescent="0.2">
      <c r="A64" s="130">
        <v>11391</v>
      </c>
      <c r="B64" s="23" t="s">
        <v>57</v>
      </c>
      <c r="C64" s="207">
        <v>0</v>
      </c>
      <c r="D64" s="207">
        <v>0</v>
      </c>
      <c r="E64" s="207">
        <v>0</v>
      </c>
      <c r="F64" s="207">
        <v>0</v>
      </c>
      <c r="G64" s="207">
        <v>0</v>
      </c>
      <c r="H64" s="10">
        <f t="shared" si="0"/>
        <v>0</v>
      </c>
      <c r="I64" s="10"/>
      <c r="K64" s="11"/>
      <c r="L64" s="11"/>
      <c r="M64" s="11"/>
    </row>
    <row r="65" spans="1:13" x14ac:dyDescent="0.2">
      <c r="A65" s="130">
        <v>11411</v>
      </c>
      <c r="B65" s="23" t="s">
        <v>58</v>
      </c>
      <c r="C65" s="207">
        <v>0</v>
      </c>
      <c r="D65" s="207">
        <v>0</v>
      </c>
      <c r="E65" s="207">
        <v>0</v>
      </c>
      <c r="F65" s="207">
        <v>0</v>
      </c>
      <c r="G65" s="207">
        <v>0</v>
      </c>
      <c r="H65" s="10">
        <f t="shared" si="0"/>
        <v>0</v>
      </c>
      <c r="I65" s="10"/>
      <c r="K65" s="11"/>
      <c r="L65" s="11"/>
      <c r="M65" s="11"/>
    </row>
    <row r="66" spans="1:13" x14ac:dyDescent="0.2">
      <c r="A66" s="130">
        <v>11421</v>
      </c>
      <c r="B66" s="23" t="s">
        <v>59</v>
      </c>
      <c r="C66" s="207">
        <v>0</v>
      </c>
      <c r="D66" s="207">
        <v>0</v>
      </c>
      <c r="E66" s="207">
        <v>0</v>
      </c>
      <c r="F66" s="207">
        <v>0</v>
      </c>
      <c r="G66" s="207">
        <v>0</v>
      </c>
      <c r="H66" s="10">
        <f t="shared" si="0"/>
        <v>0</v>
      </c>
      <c r="I66" s="10"/>
      <c r="K66" s="11"/>
      <c r="L66" s="11"/>
      <c r="M66" s="11"/>
    </row>
    <row r="67" spans="1:13" x14ac:dyDescent="0.2">
      <c r="A67" s="130">
        <v>11422</v>
      </c>
      <c r="B67" s="23" t="s">
        <v>60</v>
      </c>
      <c r="C67" s="207">
        <v>0</v>
      </c>
      <c r="D67" s="207">
        <v>0</v>
      </c>
      <c r="E67" s="207">
        <v>0</v>
      </c>
      <c r="F67" s="207">
        <v>0</v>
      </c>
      <c r="G67" s="207">
        <v>0</v>
      </c>
      <c r="H67" s="10">
        <f t="shared" si="0"/>
        <v>0</v>
      </c>
      <c r="I67" s="10"/>
      <c r="K67" s="11"/>
      <c r="L67" s="11"/>
      <c r="M67" s="11"/>
    </row>
    <row r="68" spans="1:13" x14ac:dyDescent="0.2">
      <c r="A68" s="130">
        <v>11423</v>
      </c>
      <c r="B68" s="23" t="s">
        <v>61</v>
      </c>
      <c r="C68" s="207">
        <v>0</v>
      </c>
      <c r="D68" s="207">
        <v>0</v>
      </c>
      <c r="E68" s="207">
        <v>0</v>
      </c>
      <c r="F68" s="207">
        <v>0</v>
      </c>
      <c r="G68" s="207">
        <v>0</v>
      </c>
      <c r="H68" s="10">
        <f t="shared" si="0"/>
        <v>0</v>
      </c>
      <c r="I68" s="10"/>
      <c r="K68" s="11"/>
      <c r="L68" s="11"/>
      <c r="M68" s="11"/>
    </row>
    <row r="69" spans="1:13" x14ac:dyDescent="0.2">
      <c r="A69" s="130">
        <v>11424</v>
      </c>
      <c r="B69" s="23" t="s">
        <v>62</v>
      </c>
      <c r="C69" s="207">
        <v>0</v>
      </c>
      <c r="D69" s="207">
        <v>0</v>
      </c>
      <c r="E69" s="207">
        <v>0</v>
      </c>
      <c r="F69" s="207">
        <v>0</v>
      </c>
      <c r="G69" s="207">
        <v>0</v>
      </c>
      <c r="H69" s="10">
        <f t="shared" si="0"/>
        <v>0</v>
      </c>
      <c r="I69" s="10"/>
      <c r="K69" s="11"/>
      <c r="L69" s="11"/>
      <c r="M69" s="11"/>
    </row>
    <row r="70" spans="1:13" x14ac:dyDescent="0.2">
      <c r="A70" s="130">
        <v>11425</v>
      </c>
      <c r="B70" s="23" t="s">
        <v>63</v>
      </c>
      <c r="C70" s="207">
        <v>0</v>
      </c>
      <c r="D70" s="207">
        <v>0</v>
      </c>
      <c r="E70" s="207">
        <v>0</v>
      </c>
      <c r="F70" s="207">
        <v>0</v>
      </c>
      <c r="G70" s="207">
        <v>0</v>
      </c>
      <c r="H70" s="10">
        <f t="shared" si="0"/>
        <v>0</v>
      </c>
      <c r="I70" s="10"/>
      <c r="K70" s="11"/>
      <c r="L70" s="11"/>
      <c r="M70" s="11"/>
    </row>
    <row r="71" spans="1:13" x14ac:dyDescent="0.2">
      <c r="A71" s="130">
        <v>11426</v>
      </c>
      <c r="B71" s="23" t="s">
        <v>64</v>
      </c>
      <c r="C71" s="207">
        <v>0</v>
      </c>
      <c r="D71" s="207">
        <v>0</v>
      </c>
      <c r="E71" s="207">
        <v>0</v>
      </c>
      <c r="F71" s="207">
        <v>0</v>
      </c>
      <c r="G71" s="207">
        <v>0</v>
      </c>
      <c r="H71" s="10">
        <f t="shared" si="0"/>
        <v>0</v>
      </c>
      <c r="I71" s="10"/>
      <c r="K71" s="11"/>
      <c r="L71" s="11"/>
      <c r="M71" s="11"/>
    </row>
    <row r="72" spans="1:13" x14ac:dyDescent="0.2">
      <c r="A72" s="130">
        <v>11427</v>
      </c>
      <c r="B72" s="23" t="s">
        <v>65</v>
      </c>
      <c r="C72" s="207">
        <v>0</v>
      </c>
      <c r="D72" s="207">
        <v>0</v>
      </c>
      <c r="E72" s="207">
        <v>0</v>
      </c>
      <c r="F72" s="207">
        <v>0</v>
      </c>
      <c r="G72" s="207">
        <v>0</v>
      </c>
      <c r="H72" s="10">
        <f t="shared" si="0"/>
        <v>0</v>
      </c>
      <c r="I72" s="10"/>
      <c r="K72" s="11"/>
      <c r="L72" s="11"/>
      <c r="M72" s="11"/>
    </row>
    <row r="73" spans="1:13" x14ac:dyDescent="0.2">
      <c r="A73" s="130">
        <v>11429</v>
      </c>
      <c r="B73" s="23" t="s">
        <v>66</v>
      </c>
      <c r="C73" s="207">
        <v>0</v>
      </c>
      <c r="D73" s="207">
        <v>0</v>
      </c>
      <c r="E73" s="207">
        <v>0</v>
      </c>
      <c r="F73" s="207">
        <v>0</v>
      </c>
      <c r="G73" s="207">
        <v>0</v>
      </c>
      <c r="H73" s="10">
        <f t="shared" si="0"/>
        <v>0</v>
      </c>
      <c r="I73" s="10"/>
      <c r="K73" s="11"/>
      <c r="L73" s="11"/>
      <c r="M73" s="11"/>
    </row>
    <row r="74" spans="1:13" x14ac:dyDescent="0.2">
      <c r="A74" s="130">
        <v>11431</v>
      </c>
      <c r="B74" s="23" t="s">
        <v>67</v>
      </c>
      <c r="C74" s="207">
        <v>0</v>
      </c>
      <c r="D74" s="207">
        <v>0</v>
      </c>
      <c r="E74" s="207">
        <v>0</v>
      </c>
      <c r="F74" s="207">
        <v>0</v>
      </c>
      <c r="G74" s="207">
        <v>0</v>
      </c>
      <c r="H74" s="10">
        <f t="shared" si="0"/>
        <v>0</v>
      </c>
      <c r="I74" s="10"/>
      <c r="K74" s="11"/>
      <c r="L74" s="11"/>
      <c r="M74" s="11"/>
    </row>
    <row r="75" spans="1:13" x14ac:dyDescent="0.2">
      <c r="A75" s="130">
        <v>11432</v>
      </c>
      <c r="B75" s="23" t="s">
        <v>68</v>
      </c>
      <c r="C75" s="207">
        <v>0</v>
      </c>
      <c r="D75" s="207">
        <v>0</v>
      </c>
      <c r="E75" s="207">
        <v>0</v>
      </c>
      <c r="F75" s="207">
        <v>0</v>
      </c>
      <c r="G75" s="207">
        <v>0</v>
      </c>
      <c r="H75" s="10">
        <f t="shared" si="0"/>
        <v>0</v>
      </c>
      <c r="I75" s="10"/>
      <c r="K75" s="11"/>
      <c r="L75" s="11"/>
      <c r="M75" s="11"/>
    </row>
    <row r="76" spans="1:13" x14ac:dyDescent="0.2">
      <c r="A76" s="130">
        <v>11433</v>
      </c>
      <c r="B76" s="23" t="s">
        <v>69</v>
      </c>
      <c r="C76" s="207">
        <v>0</v>
      </c>
      <c r="D76" s="207">
        <v>0</v>
      </c>
      <c r="E76" s="207">
        <v>0</v>
      </c>
      <c r="F76" s="207">
        <v>0</v>
      </c>
      <c r="G76" s="207">
        <v>0</v>
      </c>
      <c r="H76" s="10">
        <f t="shared" si="0"/>
        <v>0</v>
      </c>
      <c r="I76" s="10"/>
      <c r="K76" s="11"/>
      <c r="L76" s="11"/>
      <c r="M76" s="11"/>
    </row>
    <row r="77" spans="1:13" x14ac:dyDescent="0.2">
      <c r="A77" s="130">
        <v>11434</v>
      </c>
      <c r="B77" s="23" t="s">
        <v>70</v>
      </c>
      <c r="C77" s="207">
        <v>0</v>
      </c>
      <c r="D77" s="207">
        <v>0</v>
      </c>
      <c r="E77" s="207">
        <v>0</v>
      </c>
      <c r="F77" s="207">
        <v>0</v>
      </c>
      <c r="G77" s="207">
        <v>0</v>
      </c>
      <c r="H77" s="10">
        <f t="shared" ref="H77:H146" si="1">ROUND(E77+F77-G77,2)</f>
        <v>0</v>
      </c>
      <c r="I77" s="10"/>
      <c r="K77" s="11"/>
      <c r="L77" s="11"/>
      <c r="M77" s="11"/>
    </row>
    <row r="78" spans="1:13" x14ac:dyDescent="0.2">
      <c r="A78" s="130">
        <v>11435</v>
      </c>
      <c r="B78" s="23" t="s">
        <v>71</v>
      </c>
      <c r="C78" s="207">
        <v>0</v>
      </c>
      <c r="D78" s="207">
        <v>0</v>
      </c>
      <c r="E78" s="207">
        <v>0</v>
      </c>
      <c r="F78" s="207">
        <v>0</v>
      </c>
      <c r="G78" s="207">
        <v>0</v>
      </c>
      <c r="H78" s="10">
        <f t="shared" si="1"/>
        <v>0</v>
      </c>
      <c r="I78" s="10"/>
      <c r="K78" s="11"/>
      <c r="L78" s="11"/>
      <c r="M78" s="11"/>
    </row>
    <row r="79" spans="1:13" x14ac:dyDescent="0.2">
      <c r="A79" s="130">
        <v>11436</v>
      </c>
      <c r="B79" s="23" t="s">
        <v>72</v>
      </c>
      <c r="C79" s="207">
        <v>0</v>
      </c>
      <c r="D79" s="207">
        <v>0</v>
      </c>
      <c r="E79" s="207">
        <v>0</v>
      </c>
      <c r="F79" s="207">
        <v>0</v>
      </c>
      <c r="G79" s="207">
        <v>0</v>
      </c>
      <c r="H79" s="10">
        <f t="shared" si="1"/>
        <v>0</v>
      </c>
      <c r="I79" s="10"/>
      <c r="K79" s="11"/>
      <c r="L79" s="11"/>
      <c r="M79" s="11"/>
    </row>
    <row r="80" spans="1:13" x14ac:dyDescent="0.2">
      <c r="A80" s="130">
        <v>11437</v>
      </c>
      <c r="B80" s="23" t="s">
        <v>73</v>
      </c>
      <c r="C80" s="207">
        <v>0</v>
      </c>
      <c r="D80" s="207">
        <v>0</v>
      </c>
      <c r="E80" s="207">
        <v>0</v>
      </c>
      <c r="F80" s="207">
        <v>0</v>
      </c>
      <c r="G80" s="207">
        <v>0</v>
      </c>
      <c r="H80" s="10">
        <f t="shared" si="1"/>
        <v>0</v>
      </c>
      <c r="I80" s="10"/>
      <c r="K80" s="11"/>
      <c r="L80" s="11"/>
      <c r="M80" s="11"/>
    </row>
    <row r="81" spans="1:13" x14ac:dyDescent="0.2">
      <c r="A81" s="130">
        <v>11439</v>
      </c>
      <c r="B81" s="23" t="s">
        <v>74</v>
      </c>
      <c r="C81" s="207">
        <v>0</v>
      </c>
      <c r="D81" s="207">
        <v>0</v>
      </c>
      <c r="E81" s="207">
        <v>0</v>
      </c>
      <c r="F81" s="207">
        <v>0</v>
      </c>
      <c r="G81" s="207">
        <v>0</v>
      </c>
      <c r="H81" s="10">
        <f t="shared" si="1"/>
        <v>0</v>
      </c>
      <c r="I81" s="10"/>
      <c r="K81" s="11"/>
      <c r="L81" s="11"/>
      <c r="M81" s="11"/>
    </row>
    <row r="82" spans="1:13" x14ac:dyDescent="0.2">
      <c r="A82" s="130">
        <v>11441</v>
      </c>
      <c r="B82" s="23" t="s">
        <v>75</v>
      </c>
      <c r="C82" s="207">
        <v>0</v>
      </c>
      <c r="D82" s="207">
        <v>0</v>
      </c>
      <c r="E82" s="207">
        <v>0</v>
      </c>
      <c r="F82" s="207">
        <v>0</v>
      </c>
      <c r="G82" s="207">
        <v>0</v>
      </c>
      <c r="H82" s="10">
        <f t="shared" si="1"/>
        <v>0</v>
      </c>
      <c r="I82" s="10"/>
      <c r="K82" s="11"/>
      <c r="L82" s="11"/>
      <c r="M82" s="11"/>
    </row>
    <row r="83" spans="1:13" x14ac:dyDescent="0.2">
      <c r="A83" s="130">
        <v>11442</v>
      </c>
      <c r="B83" s="23" t="s">
        <v>76</v>
      </c>
      <c r="C83" s="207">
        <v>0</v>
      </c>
      <c r="D83" s="207">
        <v>0</v>
      </c>
      <c r="E83" s="207">
        <v>0</v>
      </c>
      <c r="F83" s="207">
        <v>0</v>
      </c>
      <c r="G83" s="207">
        <v>0</v>
      </c>
      <c r="H83" s="10">
        <f t="shared" si="1"/>
        <v>0</v>
      </c>
      <c r="I83" s="10"/>
      <c r="K83" s="11"/>
      <c r="L83" s="11"/>
      <c r="M83" s="11"/>
    </row>
    <row r="84" spans="1:13" x14ac:dyDescent="0.2">
      <c r="A84" s="130">
        <v>11443</v>
      </c>
      <c r="B84" s="23" t="s">
        <v>77</v>
      </c>
      <c r="C84" s="207">
        <v>0</v>
      </c>
      <c r="D84" s="207">
        <v>0</v>
      </c>
      <c r="E84" s="207">
        <v>0</v>
      </c>
      <c r="F84" s="207">
        <v>0</v>
      </c>
      <c r="G84" s="207">
        <v>0</v>
      </c>
      <c r="H84" s="10">
        <f t="shared" si="1"/>
        <v>0</v>
      </c>
      <c r="I84" s="10"/>
      <c r="K84" s="11"/>
      <c r="L84" s="11"/>
      <c r="M84" s="11"/>
    </row>
    <row r="85" spans="1:13" x14ac:dyDescent="0.2">
      <c r="A85" s="130">
        <v>11444</v>
      </c>
      <c r="B85" s="23" t="s">
        <v>78</v>
      </c>
      <c r="C85" s="207">
        <v>0</v>
      </c>
      <c r="D85" s="207">
        <v>0</v>
      </c>
      <c r="E85" s="207">
        <v>0</v>
      </c>
      <c r="F85" s="207">
        <v>0</v>
      </c>
      <c r="G85" s="207">
        <v>0</v>
      </c>
      <c r="H85" s="10">
        <f t="shared" si="1"/>
        <v>0</v>
      </c>
      <c r="I85" s="10"/>
      <c r="K85" s="11"/>
      <c r="L85" s="11"/>
      <c r="M85" s="11"/>
    </row>
    <row r="86" spans="1:13" x14ac:dyDescent="0.2">
      <c r="A86" s="130">
        <v>11445</v>
      </c>
      <c r="B86" s="23" t="s">
        <v>79</v>
      </c>
      <c r="C86" s="207">
        <v>0</v>
      </c>
      <c r="D86" s="207">
        <v>0</v>
      </c>
      <c r="E86" s="207">
        <v>0</v>
      </c>
      <c r="F86" s="207">
        <v>0</v>
      </c>
      <c r="G86" s="207">
        <v>0</v>
      </c>
      <c r="H86" s="10">
        <f t="shared" si="1"/>
        <v>0</v>
      </c>
      <c r="I86" s="10"/>
      <c r="K86" s="11"/>
      <c r="L86" s="11"/>
      <c r="M86" s="11"/>
    </row>
    <row r="87" spans="1:13" x14ac:dyDescent="0.2">
      <c r="A87" s="130">
        <v>11446</v>
      </c>
      <c r="B87" s="23" t="s">
        <v>80</v>
      </c>
      <c r="C87" s="207">
        <v>0</v>
      </c>
      <c r="D87" s="207">
        <v>0</v>
      </c>
      <c r="E87" s="207">
        <v>0</v>
      </c>
      <c r="F87" s="207">
        <v>0</v>
      </c>
      <c r="G87" s="207">
        <v>0</v>
      </c>
      <c r="H87" s="10">
        <f t="shared" si="1"/>
        <v>0</v>
      </c>
      <c r="I87" s="10"/>
      <c r="K87" s="11"/>
      <c r="L87" s="11"/>
      <c r="M87" s="11"/>
    </row>
    <row r="88" spans="1:13" x14ac:dyDescent="0.2">
      <c r="A88" s="130">
        <v>11447</v>
      </c>
      <c r="B88" s="23" t="s">
        <v>81</v>
      </c>
      <c r="C88" s="207">
        <v>0</v>
      </c>
      <c r="D88" s="207">
        <v>0</v>
      </c>
      <c r="E88" s="207">
        <v>0</v>
      </c>
      <c r="F88" s="207">
        <v>0</v>
      </c>
      <c r="G88" s="207">
        <v>0</v>
      </c>
      <c r="H88" s="10">
        <f t="shared" si="1"/>
        <v>0</v>
      </c>
      <c r="I88" s="10"/>
      <c r="K88" s="11"/>
      <c r="L88" s="11"/>
      <c r="M88" s="11"/>
    </row>
    <row r="89" spans="1:13" x14ac:dyDescent="0.2">
      <c r="A89" s="130">
        <v>11449</v>
      </c>
      <c r="B89" s="23" t="s">
        <v>82</v>
      </c>
      <c r="C89" s="207">
        <v>0</v>
      </c>
      <c r="D89" s="207">
        <v>0</v>
      </c>
      <c r="E89" s="207">
        <v>0</v>
      </c>
      <c r="F89" s="207">
        <v>0</v>
      </c>
      <c r="G89" s="207">
        <v>0</v>
      </c>
      <c r="H89" s="10">
        <f t="shared" si="1"/>
        <v>0</v>
      </c>
      <c r="I89" s="10"/>
      <c r="K89" s="11"/>
      <c r="L89" s="11"/>
      <c r="M89" s="11"/>
    </row>
    <row r="90" spans="1:13" x14ac:dyDescent="0.2">
      <c r="A90" s="130">
        <v>11451</v>
      </c>
      <c r="B90" s="23" t="s">
        <v>83</v>
      </c>
      <c r="C90" s="207">
        <v>0</v>
      </c>
      <c r="D90" s="207">
        <v>0</v>
      </c>
      <c r="E90" s="207">
        <v>0</v>
      </c>
      <c r="F90" s="207">
        <v>0</v>
      </c>
      <c r="G90" s="207">
        <v>0</v>
      </c>
      <c r="H90" s="10">
        <f t="shared" si="1"/>
        <v>0</v>
      </c>
      <c r="I90" s="10"/>
      <c r="K90" s="11"/>
      <c r="L90" s="11"/>
      <c r="M90" s="11"/>
    </row>
    <row r="91" spans="1:13" x14ac:dyDescent="0.2">
      <c r="A91" s="130">
        <v>11452</v>
      </c>
      <c r="B91" s="23" t="s">
        <v>84</v>
      </c>
      <c r="C91" s="207">
        <v>0</v>
      </c>
      <c r="D91" s="207">
        <v>0</v>
      </c>
      <c r="E91" s="207">
        <v>0</v>
      </c>
      <c r="F91" s="207">
        <v>0</v>
      </c>
      <c r="G91" s="207">
        <v>0</v>
      </c>
      <c r="H91" s="10">
        <f t="shared" si="1"/>
        <v>0</v>
      </c>
      <c r="I91" s="10"/>
      <c r="K91" s="11"/>
      <c r="L91" s="11"/>
      <c r="M91" s="11"/>
    </row>
    <row r="92" spans="1:13" x14ac:dyDescent="0.2">
      <c r="A92" s="130">
        <v>11453</v>
      </c>
      <c r="B92" s="23" t="s">
        <v>85</v>
      </c>
      <c r="C92" s="207">
        <v>0</v>
      </c>
      <c r="D92" s="207">
        <v>0</v>
      </c>
      <c r="E92" s="207">
        <v>0</v>
      </c>
      <c r="F92" s="207">
        <v>0</v>
      </c>
      <c r="G92" s="207">
        <v>0</v>
      </c>
      <c r="H92" s="10">
        <f t="shared" si="1"/>
        <v>0</v>
      </c>
      <c r="I92" s="10"/>
      <c r="K92" s="11"/>
      <c r="L92" s="11"/>
      <c r="M92" s="11"/>
    </row>
    <row r="93" spans="1:13" x14ac:dyDescent="0.2">
      <c r="A93" s="130">
        <v>11454</v>
      </c>
      <c r="B93" s="23" t="s">
        <v>86</v>
      </c>
      <c r="C93" s="207">
        <v>0</v>
      </c>
      <c r="D93" s="207">
        <v>0</v>
      </c>
      <c r="E93" s="207">
        <v>0</v>
      </c>
      <c r="F93" s="207">
        <v>0</v>
      </c>
      <c r="G93" s="207">
        <v>0</v>
      </c>
      <c r="H93" s="10">
        <f t="shared" si="1"/>
        <v>0</v>
      </c>
      <c r="I93" s="10"/>
      <c r="K93" s="11"/>
      <c r="L93" s="11"/>
      <c r="M93" s="11"/>
    </row>
    <row r="94" spans="1:13" x14ac:dyDescent="0.2">
      <c r="A94" s="130">
        <v>11511</v>
      </c>
      <c r="B94" s="23" t="s">
        <v>87</v>
      </c>
      <c r="C94" s="207">
        <v>17218314.609999999</v>
      </c>
      <c r="D94" s="207">
        <v>3437142.63</v>
      </c>
      <c r="E94" s="207">
        <f>3437142.62+0.01</f>
        <v>3437142.63</v>
      </c>
      <c r="F94" s="207">
        <v>297832584.75</v>
      </c>
      <c r="G94" s="207">
        <v>279788336.16000003</v>
      </c>
      <c r="H94" s="10">
        <f t="shared" si="1"/>
        <v>21481391.219999999</v>
      </c>
      <c r="I94" s="10"/>
      <c r="K94" s="11"/>
      <c r="L94" s="11"/>
      <c r="M94" s="11"/>
    </row>
    <row r="95" spans="1:13" x14ac:dyDescent="0.2">
      <c r="A95" s="130">
        <v>11512</v>
      </c>
      <c r="B95" s="23" t="s">
        <v>88</v>
      </c>
      <c r="C95" s="207">
        <v>0</v>
      </c>
      <c r="D95" s="207">
        <v>0</v>
      </c>
      <c r="E95" s="207">
        <v>0</v>
      </c>
      <c r="F95" s="207">
        <v>0</v>
      </c>
      <c r="G95" s="207">
        <v>0</v>
      </c>
      <c r="H95" s="10">
        <f t="shared" si="1"/>
        <v>0</v>
      </c>
      <c r="I95" s="10"/>
      <c r="K95" s="11"/>
      <c r="L95" s="11"/>
      <c r="M95" s="11"/>
    </row>
    <row r="96" spans="1:13" x14ac:dyDescent="0.2">
      <c r="A96" s="130">
        <v>11513</v>
      </c>
      <c r="B96" s="23" t="s">
        <v>89</v>
      </c>
      <c r="C96" s="207">
        <v>0</v>
      </c>
      <c r="D96" s="207">
        <v>0</v>
      </c>
      <c r="E96" s="207">
        <v>0</v>
      </c>
      <c r="F96" s="207">
        <v>0</v>
      </c>
      <c r="G96" s="207">
        <v>0</v>
      </c>
      <c r="H96" s="10">
        <f t="shared" si="1"/>
        <v>0</v>
      </c>
      <c r="I96" s="10"/>
      <c r="K96" s="11"/>
      <c r="L96" s="11"/>
      <c r="M96" s="11"/>
    </row>
    <row r="97" spans="1:13" x14ac:dyDescent="0.2">
      <c r="A97" s="130">
        <v>11514</v>
      </c>
      <c r="B97" s="23" t="s">
        <v>90</v>
      </c>
      <c r="C97" s="207">
        <v>0</v>
      </c>
      <c r="D97" s="207">
        <v>0</v>
      </c>
      <c r="E97" s="207">
        <v>0</v>
      </c>
      <c r="F97" s="207">
        <v>0</v>
      </c>
      <c r="G97" s="207">
        <v>0</v>
      </c>
      <c r="H97" s="10">
        <f t="shared" si="1"/>
        <v>0</v>
      </c>
      <c r="I97" s="10"/>
      <c r="K97" s="11"/>
      <c r="L97" s="11"/>
      <c r="M97" s="11"/>
    </row>
    <row r="98" spans="1:13" x14ac:dyDescent="0.2">
      <c r="A98" s="130">
        <v>11515</v>
      </c>
      <c r="B98" s="23" t="s">
        <v>91</v>
      </c>
      <c r="C98" s="207">
        <v>0</v>
      </c>
      <c r="D98" s="207">
        <v>0</v>
      </c>
      <c r="E98" s="207">
        <v>0</v>
      </c>
      <c r="F98" s="207">
        <v>0</v>
      </c>
      <c r="G98" s="207">
        <v>0</v>
      </c>
      <c r="H98" s="10">
        <f t="shared" si="1"/>
        <v>0</v>
      </c>
      <c r="I98" s="10"/>
      <c r="K98" s="11"/>
      <c r="L98" s="11"/>
      <c r="M98" s="11"/>
    </row>
    <row r="99" spans="1:13" x14ac:dyDescent="0.2">
      <c r="A99" s="130">
        <v>11516</v>
      </c>
      <c r="B99" s="23" t="s">
        <v>92</v>
      </c>
      <c r="C99" s="207">
        <v>0</v>
      </c>
      <c r="D99" s="207">
        <v>0</v>
      </c>
      <c r="E99" s="207">
        <v>0</v>
      </c>
      <c r="F99" s="207">
        <v>0</v>
      </c>
      <c r="G99" s="207">
        <v>0</v>
      </c>
      <c r="H99" s="10">
        <f t="shared" si="1"/>
        <v>0</v>
      </c>
      <c r="I99" s="10"/>
      <c r="K99" s="11"/>
      <c r="L99" s="11"/>
      <c r="M99" s="11"/>
    </row>
    <row r="100" spans="1:13" x14ac:dyDescent="0.2">
      <c r="A100" s="130">
        <v>11517</v>
      </c>
      <c r="B100" s="23" t="s">
        <v>93</v>
      </c>
      <c r="C100" s="207">
        <v>0</v>
      </c>
      <c r="D100" s="207">
        <v>0</v>
      </c>
      <c r="E100" s="207">
        <v>0</v>
      </c>
      <c r="F100" s="207">
        <v>0</v>
      </c>
      <c r="G100" s="207">
        <v>0</v>
      </c>
      <c r="H100" s="10">
        <f t="shared" si="1"/>
        <v>0</v>
      </c>
      <c r="I100" s="10"/>
      <c r="K100" s="11"/>
      <c r="L100" s="11"/>
      <c r="M100" s="11"/>
    </row>
    <row r="101" spans="1:13" x14ac:dyDescent="0.2">
      <c r="A101" s="130">
        <v>11518</v>
      </c>
      <c r="B101" s="23" t="s">
        <v>94</v>
      </c>
      <c r="C101" s="207">
        <v>0</v>
      </c>
      <c r="D101" s="207">
        <v>0</v>
      </c>
      <c r="E101" s="207">
        <v>0</v>
      </c>
      <c r="F101" s="207">
        <v>0</v>
      </c>
      <c r="G101" s="207">
        <v>0</v>
      </c>
      <c r="H101" s="10">
        <f t="shared" si="1"/>
        <v>0</v>
      </c>
      <c r="I101" s="10"/>
      <c r="K101" s="11"/>
      <c r="L101" s="11"/>
      <c r="M101" s="11"/>
    </row>
    <row r="102" spans="1:13" x14ac:dyDescent="0.2">
      <c r="A102" s="130">
        <v>11611</v>
      </c>
      <c r="B102" s="23" t="s">
        <v>95</v>
      </c>
      <c r="C102" s="207">
        <v>0</v>
      </c>
      <c r="D102" s="207">
        <v>0</v>
      </c>
      <c r="E102" s="207">
        <v>0</v>
      </c>
      <c r="F102" s="207">
        <v>0</v>
      </c>
      <c r="G102" s="207">
        <v>0</v>
      </c>
      <c r="H102" s="10">
        <f t="shared" si="1"/>
        <v>0</v>
      </c>
      <c r="I102" s="10"/>
      <c r="K102" s="11"/>
      <c r="L102" s="11"/>
      <c r="M102" s="11"/>
    </row>
    <row r="103" spans="1:13" x14ac:dyDescent="0.2">
      <c r="A103" s="130">
        <v>11612</v>
      </c>
      <c r="B103" s="23" t="s">
        <v>96</v>
      </c>
      <c r="C103" s="207">
        <v>0</v>
      </c>
      <c r="D103" s="207">
        <v>0</v>
      </c>
      <c r="E103" s="207">
        <v>0</v>
      </c>
      <c r="F103" s="207">
        <v>0</v>
      </c>
      <c r="G103" s="207">
        <v>0</v>
      </c>
      <c r="H103" s="10">
        <f t="shared" si="1"/>
        <v>0</v>
      </c>
      <c r="I103" s="10"/>
      <c r="K103" s="11"/>
      <c r="L103" s="11"/>
      <c r="M103" s="11"/>
    </row>
    <row r="104" spans="1:13" x14ac:dyDescent="0.2">
      <c r="A104" s="130">
        <v>11613</v>
      </c>
      <c r="B104" s="23" t="s">
        <v>97</v>
      </c>
      <c r="C104" s="207">
        <v>0</v>
      </c>
      <c r="D104" s="207">
        <v>0</v>
      </c>
      <c r="E104" s="207">
        <v>0</v>
      </c>
      <c r="F104" s="207">
        <v>0</v>
      </c>
      <c r="G104" s="207">
        <v>0</v>
      </c>
      <c r="H104" s="10">
        <f t="shared" si="1"/>
        <v>0</v>
      </c>
      <c r="I104" s="10"/>
      <c r="K104" s="11"/>
      <c r="L104" s="11"/>
      <c r="M104" s="11"/>
    </row>
    <row r="105" spans="1:13" x14ac:dyDescent="0.2">
      <c r="A105" s="130">
        <v>11614</v>
      </c>
      <c r="B105" s="23" t="s">
        <v>98</v>
      </c>
      <c r="C105" s="207">
        <v>0</v>
      </c>
      <c r="D105" s="207">
        <v>0</v>
      </c>
      <c r="E105" s="207">
        <v>0</v>
      </c>
      <c r="F105" s="207">
        <v>0</v>
      </c>
      <c r="G105" s="207">
        <v>0</v>
      </c>
      <c r="H105" s="10">
        <f t="shared" si="1"/>
        <v>0</v>
      </c>
      <c r="I105" s="10"/>
      <c r="K105" s="11"/>
      <c r="L105" s="11"/>
      <c r="M105" s="11"/>
    </row>
    <row r="106" spans="1:13" x14ac:dyDescent="0.2">
      <c r="A106" s="130">
        <v>11619</v>
      </c>
      <c r="B106" s="23" t="s">
        <v>99</v>
      </c>
      <c r="C106" s="207">
        <v>0</v>
      </c>
      <c r="D106" s="207">
        <v>0</v>
      </c>
      <c r="E106" s="207">
        <v>0</v>
      </c>
      <c r="F106" s="207">
        <v>0</v>
      </c>
      <c r="G106" s="207">
        <v>0</v>
      </c>
      <c r="H106" s="10">
        <f t="shared" si="1"/>
        <v>0</v>
      </c>
      <c r="I106" s="10"/>
      <c r="K106" s="11"/>
      <c r="L106" s="11"/>
      <c r="M106" s="11"/>
    </row>
    <row r="107" spans="1:13" x14ac:dyDescent="0.2">
      <c r="A107" s="130">
        <v>11621</v>
      </c>
      <c r="B107" s="23" t="s">
        <v>100</v>
      </c>
      <c r="C107" s="207">
        <v>0</v>
      </c>
      <c r="D107" s="207">
        <v>0</v>
      </c>
      <c r="E107" s="207">
        <v>0</v>
      </c>
      <c r="F107" s="207">
        <v>0</v>
      </c>
      <c r="G107" s="207">
        <v>0</v>
      </c>
      <c r="H107" s="10">
        <f t="shared" si="1"/>
        <v>0</v>
      </c>
      <c r="I107" s="10"/>
      <c r="K107" s="11"/>
      <c r="L107" s="11"/>
      <c r="M107" s="11"/>
    </row>
    <row r="108" spans="1:13" x14ac:dyDescent="0.2">
      <c r="A108" s="130">
        <v>11622</v>
      </c>
      <c r="B108" s="23" t="s">
        <v>101</v>
      </c>
      <c r="C108" s="207">
        <v>0</v>
      </c>
      <c r="D108" s="207">
        <v>0</v>
      </c>
      <c r="E108" s="207">
        <v>0</v>
      </c>
      <c r="F108" s="207">
        <v>0</v>
      </c>
      <c r="G108" s="207">
        <v>0</v>
      </c>
      <c r="H108" s="10">
        <f t="shared" si="1"/>
        <v>0</v>
      </c>
      <c r="I108" s="10"/>
      <c r="K108" s="11"/>
      <c r="L108" s="11"/>
      <c r="M108" s="11"/>
    </row>
    <row r="109" spans="1:13" x14ac:dyDescent="0.2">
      <c r="A109" s="130">
        <v>11623</v>
      </c>
      <c r="B109" s="23" t="s">
        <v>102</v>
      </c>
      <c r="C109" s="207">
        <v>0</v>
      </c>
      <c r="D109" s="207">
        <v>0</v>
      </c>
      <c r="E109" s="207">
        <v>0</v>
      </c>
      <c r="F109" s="207">
        <v>0</v>
      </c>
      <c r="G109" s="207">
        <v>0</v>
      </c>
      <c r="H109" s="10">
        <f t="shared" si="1"/>
        <v>0</v>
      </c>
      <c r="I109" s="10"/>
      <c r="K109" s="11"/>
      <c r="L109" s="11"/>
      <c r="M109" s="11"/>
    </row>
    <row r="110" spans="1:13" x14ac:dyDescent="0.2">
      <c r="A110" s="130">
        <v>11624</v>
      </c>
      <c r="B110" s="23" t="s">
        <v>103</v>
      </c>
      <c r="C110" s="207">
        <v>0</v>
      </c>
      <c r="D110" s="207">
        <v>0</v>
      </c>
      <c r="E110" s="207">
        <v>0</v>
      </c>
      <c r="F110" s="207">
        <v>0</v>
      </c>
      <c r="G110" s="207">
        <v>0</v>
      </c>
      <c r="H110" s="10">
        <f t="shared" si="1"/>
        <v>0</v>
      </c>
      <c r="I110" s="10"/>
      <c r="K110" s="11"/>
      <c r="L110" s="11"/>
      <c r="M110" s="11"/>
    </row>
    <row r="111" spans="1:13" x14ac:dyDescent="0.2">
      <c r="A111" s="130">
        <v>11625</v>
      </c>
      <c r="B111" s="23" t="s">
        <v>104</v>
      </c>
      <c r="C111" s="207">
        <v>0</v>
      </c>
      <c r="D111" s="207">
        <v>0</v>
      </c>
      <c r="E111" s="207">
        <v>0</v>
      </c>
      <c r="F111" s="207">
        <v>0</v>
      </c>
      <c r="G111" s="207">
        <v>0</v>
      </c>
      <c r="H111" s="10">
        <f t="shared" si="1"/>
        <v>0</v>
      </c>
      <c r="I111" s="10"/>
      <c r="K111" s="11"/>
      <c r="L111" s="11"/>
      <c r="M111" s="11"/>
    </row>
    <row r="112" spans="1:13" x14ac:dyDescent="0.2">
      <c r="A112" s="130">
        <v>11911</v>
      </c>
      <c r="B112" s="23" t="s">
        <v>105</v>
      </c>
      <c r="C112" s="207">
        <v>0</v>
      </c>
      <c r="D112" s="207">
        <v>0</v>
      </c>
      <c r="E112" s="207">
        <v>0</v>
      </c>
      <c r="F112" s="207">
        <v>0</v>
      </c>
      <c r="G112" s="207">
        <v>0</v>
      </c>
      <c r="H112" s="10">
        <f t="shared" si="1"/>
        <v>0</v>
      </c>
      <c r="I112" s="10"/>
      <c r="K112" s="11"/>
      <c r="L112" s="11"/>
      <c r="M112" s="11"/>
    </row>
    <row r="113" spans="1:13" x14ac:dyDescent="0.2">
      <c r="A113" s="130">
        <v>11921</v>
      </c>
      <c r="B113" s="23" t="s">
        <v>106</v>
      </c>
      <c r="C113" s="207">
        <v>0</v>
      </c>
      <c r="D113" s="207">
        <v>0</v>
      </c>
      <c r="E113" s="207">
        <v>0</v>
      </c>
      <c r="F113" s="207">
        <v>0</v>
      </c>
      <c r="G113" s="207">
        <v>0</v>
      </c>
      <c r="H113" s="10">
        <f t="shared" si="1"/>
        <v>0</v>
      </c>
      <c r="I113" s="10"/>
      <c r="K113" s="11"/>
      <c r="L113" s="11"/>
      <c r="M113" s="11"/>
    </row>
    <row r="114" spans="1:13" x14ac:dyDescent="0.2">
      <c r="A114" s="130">
        <v>11931</v>
      </c>
      <c r="B114" s="23" t="s">
        <v>107</v>
      </c>
      <c r="C114" s="207">
        <v>0</v>
      </c>
      <c r="D114" s="207">
        <v>0</v>
      </c>
      <c r="E114" s="207">
        <v>0</v>
      </c>
      <c r="F114" s="207">
        <v>0</v>
      </c>
      <c r="G114" s="207">
        <v>0</v>
      </c>
      <c r="H114" s="10">
        <f t="shared" si="1"/>
        <v>0</v>
      </c>
      <c r="I114" s="10"/>
      <c r="K114" s="11"/>
      <c r="L114" s="11"/>
      <c r="M114" s="11"/>
    </row>
    <row r="115" spans="1:13" x14ac:dyDescent="0.2">
      <c r="A115" s="130">
        <v>11932</v>
      </c>
      <c r="B115" s="23" t="s">
        <v>108</v>
      </c>
      <c r="C115" s="207">
        <v>0</v>
      </c>
      <c r="D115" s="207">
        <v>0</v>
      </c>
      <c r="E115" s="207">
        <v>0</v>
      </c>
      <c r="F115" s="207">
        <v>0</v>
      </c>
      <c r="G115" s="207">
        <v>0</v>
      </c>
      <c r="H115" s="10">
        <f t="shared" si="1"/>
        <v>0</v>
      </c>
      <c r="I115" s="10"/>
      <c r="K115" s="11"/>
      <c r="L115" s="11"/>
      <c r="M115" s="11"/>
    </row>
    <row r="116" spans="1:13" x14ac:dyDescent="0.2">
      <c r="A116" s="130">
        <v>11933</v>
      </c>
      <c r="B116" s="23" t="s">
        <v>109</v>
      </c>
      <c r="C116" s="207">
        <v>0</v>
      </c>
      <c r="D116" s="207">
        <v>0</v>
      </c>
      <c r="E116" s="207">
        <v>0</v>
      </c>
      <c r="F116" s="207">
        <v>0</v>
      </c>
      <c r="G116" s="207">
        <v>0</v>
      </c>
      <c r="H116" s="10">
        <f t="shared" si="1"/>
        <v>0</v>
      </c>
      <c r="I116" s="10"/>
      <c r="K116" s="11"/>
      <c r="L116" s="11"/>
      <c r="M116" s="11"/>
    </row>
    <row r="117" spans="1:13" x14ac:dyDescent="0.2">
      <c r="A117" s="130">
        <v>11934</v>
      </c>
      <c r="B117" s="23" t="s">
        <v>110</v>
      </c>
      <c r="C117" s="207">
        <v>0</v>
      </c>
      <c r="D117" s="207">
        <v>0</v>
      </c>
      <c r="E117" s="207">
        <v>0</v>
      </c>
      <c r="F117" s="207">
        <v>0</v>
      </c>
      <c r="G117" s="207">
        <v>0</v>
      </c>
      <c r="H117" s="10">
        <f t="shared" si="1"/>
        <v>0</v>
      </c>
      <c r="I117" s="10"/>
      <c r="K117" s="11"/>
      <c r="L117" s="11"/>
      <c r="M117" s="11"/>
    </row>
    <row r="118" spans="1:13" x14ac:dyDescent="0.2">
      <c r="A118" s="130">
        <v>11941</v>
      </c>
      <c r="B118" s="23" t="s">
        <v>838</v>
      </c>
      <c r="C118" s="207">
        <v>0</v>
      </c>
      <c r="D118" s="207">
        <v>0</v>
      </c>
      <c r="E118" s="207">
        <v>0</v>
      </c>
      <c r="F118" s="207">
        <v>0</v>
      </c>
      <c r="G118" s="207">
        <v>0</v>
      </c>
      <c r="H118" s="10">
        <f t="shared" si="1"/>
        <v>0</v>
      </c>
      <c r="I118" s="10"/>
      <c r="K118" s="11"/>
      <c r="L118" s="11"/>
      <c r="M118" s="11"/>
    </row>
    <row r="119" spans="1:13" x14ac:dyDescent="0.2">
      <c r="A119" s="130">
        <v>11942</v>
      </c>
      <c r="B119" s="23" t="s">
        <v>839</v>
      </c>
      <c r="C119" s="207">
        <v>0</v>
      </c>
      <c r="D119" s="207">
        <v>0</v>
      </c>
      <c r="E119" s="207">
        <v>0</v>
      </c>
      <c r="F119" s="207">
        <v>0</v>
      </c>
      <c r="G119" s="207">
        <v>0</v>
      </c>
      <c r="H119" s="10">
        <f t="shared" si="1"/>
        <v>0</v>
      </c>
      <c r="I119" s="10"/>
      <c r="K119" s="11"/>
      <c r="L119" s="11"/>
      <c r="M119" s="11"/>
    </row>
    <row r="120" spans="1:13" x14ac:dyDescent="0.2">
      <c r="A120" s="130">
        <v>11943</v>
      </c>
      <c r="B120" s="23" t="s">
        <v>840</v>
      </c>
      <c r="C120" s="207">
        <v>0</v>
      </c>
      <c r="D120" s="207">
        <v>0</v>
      </c>
      <c r="E120" s="207">
        <v>0</v>
      </c>
      <c r="F120" s="207">
        <v>0</v>
      </c>
      <c r="G120" s="207">
        <v>0</v>
      </c>
      <c r="H120" s="10">
        <f t="shared" si="1"/>
        <v>0</v>
      </c>
      <c r="I120" s="10"/>
      <c r="K120" s="11"/>
      <c r="L120" s="11"/>
      <c r="M120" s="11"/>
    </row>
    <row r="121" spans="1:13" x14ac:dyDescent="0.2">
      <c r="A121" s="130">
        <v>11944</v>
      </c>
      <c r="B121" s="23" t="s">
        <v>1021</v>
      </c>
      <c r="C121" s="207">
        <v>0</v>
      </c>
      <c r="D121" s="207">
        <v>0</v>
      </c>
      <c r="E121" s="207">
        <v>0</v>
      </c>
      <c r="F121" s="207">
        <v>0</v>
      </c>
      <c r="G121" s="207">
        <v>0</v>
      </c>
      <c r="H121" s="10">
        <f t="shared" si="1"/>
        <v>0</v>
      </c>
      <c r="I121" s="10"/>
      <c r="K121" s="11"/>
      <c r="L121" s="11"/>
      <c r="M121" s="11"/>
    </row>
    <row r="122" spans="1:13" x14ac:dyDescent="0.2">
      <c r="A122" s="130">
        <v>11945</v>
      </c>
      <c r="B122" s="23" t="s">
        <v>841</v>
      </c>
      <c r="C122" s="207">
        <v>0</v>
      </c>
      <c r="D122" s="207">
        <v>0</v>
      </c>
      <c r="E122" s="207">
        <v>0</v>
      </c>
      <c r="F122" s="207">
        <v>0</v>
      </c>
      <c r="G122" s="207">
        <v>0</v>
      </c>
      <c r="H122" s="10">
        <f t="shared" si="1"/>
        <v>0</v>
      </c>
      <c r="I122" s="10"/>
      <c r="K122" s="11"/>
      <c r="L122" s="11"/>
      <c r="M122" s="11"/>
    </row>
    <row r="123" spans="1:13" x14ac:dyDescent="0.2">
      <c r="A123" s="130">
        <v>11946</v>
      </c>
      <c r="B123" s="23" t="s">
        <v>842</v>
      </c>
      <c r="C123" s="207">
        <v>0</v>
      </c>
      <c r="D123" s="207">
        <v>0</v>
      </c>
      <c r="E123" s="207">
        <v>0</v>
      </c>
      <c r="F123" s="207">
        <v>0</v>
      </c>
      <c r="G123" s="207">
        <v>0</v>
      </c>
      <c r="H123" s="10">
        <f t="shared" si="1"/>
        <v>0</v>
      </c>
      <c r="I123" s="10"/>
      <c r="K123" s="11"/>
      <c r="L123" s="11"/>
      <c r="M123" s="11"/>
    </row>
    <row r="124" spans="1:13" x14ac:dyDescent="0.2">
      <c r="A124" s="130">
        <v>12111</v>
      </c>
      <c r="B124" s="23" t="s">
        <v>111</v>
      </c>
      <c r="C124" s="207">
        <v>0</v>
      </c>
      <c r="D124" s="207">
        <v>0</v>
      </c>
      <c r="E124" s="207">
        <v>0</v>
      </c>
      <c r="F124" s="207">
        <v>0</v>
      </c>
      <c r="G124" s="207">
        <v>0</v>
      </c>
      <c r="H124" s="10">
        <f t="shared" si="1"/>
        <v>0</v>
      </c>
      <c r="I124" s="10"/>
      <c r="K124" s="11"/>
      <c r="L124" s="11"/>
      <c r="M124" s="11"/>
    </row>
    <row r="125" spans="1:13" x14ac:dyDescent="0.2">
      <c r="A125" s="130">
        <v>12112</v>
      </c>
      <c r="B125" s="23" t="s">
        <v>112</v>
      </c>
      <c r="C125" s="207">
        <v>0</v>
      </c>
      <c r="D125" s="207">
        <v>0</v>
      </c>
      <c r="E125" s="207">
        <v>0</v>
      </c>
      <c r="F125" s="207">
        <v>0</v>
      </c>
      <c r="G125" s="207">
        <v>0</v>
      </c>
      <c r="H125" s="10">
        <f t="shared" si="1"/>
        <v>0</v>
      </c>
      <c r="I125" s="10"/>
      <c r="K125" s="11"/>
      <c r="L125" s="11"/>
      <c r="M125" s="11"/>
    </row>
    <row r="126" spans="1:13" x14ac:dyDescent="0.2">
      <c r="A126" s="130">
        <v>12121</v>
      </c>
      <c r="B126" s="23" t="s">
        <v>113</v>
      </c>
      <c r="C126" s="207">
        <v>0</v>
      </c>
      <c r="D126" s="207">
        <v>0</v>
      </c>
      <c r="E126" s="207">
        <v>0</v>
      </c>
      <c r="F126" s="207">
        <v>0</v>
      </c>
      <c r="G126" s="207">
        <v>0</v>
      </c>
      <c r="H126" s="10">
        <f t="shared" si="1"/>
        <v>0</v>
      </c>
      <c r="I126" s="10"/>
      <c r="K126" s="11"/>
      <c r="L126" s="11"/>
      <c r="M126" s="11"/>
    </row>
    <row r="127" spans="1:13" x14ac:dyDescent="0.2">
      <c r="A127" s="130">
        <v>12122</v>
      </c>
      <c r="B127" s="23" t="s">
        <v>114</v>
      </c>
      <c r="C127" s="207">
        <v>0</v>
      </c>
      <c r="D127" s="207">
        <v>0</v>
      </c>
      <c r="E127" s="207">
        <v>0</v>
      </c>
      <c r="F127" s="207">
        <v>0</v>
      </c>
      <c r="G127" s="207">
        <v>0</v>
      </c>
      <c r="H127" s="10">
        <f t="shared" si="1"/>
        <v>0</v>
      </c>
      <c r="I127" s="10"/>
      <c r="K127" s="11"/>
      <c r="L127" s="11"/>
      <c r="M127" s="11"/>
    </row>
    <row r="128" spans="1:13" x14ac:dyDescent="0.2">
      <c r="A128" s="130">
        <v>12123</v>
      </c>
      <c r="B128" s="23" t="s">
        <v>115</v>
      </c>
      <c r="C128" s="207">
        <v>0</v>
      </c>
      <c r="D128" s="207">
        <v>0</v>
      </c>
      <c r="E128" s="207">
        <v>0</v>
      </c>
      <c r="F128" s="207">
        <v>0</v>
      </c>
      <c r="G128" s="207">
        <v>0</v>
      </c>
      <c r="H128" s="10">
        <f t="shared" si="1"/>
        <v>0</v>
      </c>
      <c r="I128" s="10"/>
      <c r="K128" s="11"/>
      <c r="L128" s="11"/>
      <c r="M128" s="11"/>
    </row>
    <row r="129" spans="1:13" x14ac:dyDescent="0.2">
      <c r="A129" s="130">
        <v>12129</v>
      </c>
      <c r="B129" s="23" t="s">
        <v>116</v>
      </c>
      <c r="C129" s="207">
        <v>0</v>
      </c>
      <c r="D129" s="207">
        <v>0</v>
      </c>
      <c r="E129" s="207">
        <v>0</v>
      </c>
      <c r="F129" s="207">
        <v>0</v>
      </c>
      <c r="G129" s="207">
        <v>0</v>
      </c>
      <c r="H129" s="10">
        <f t="shared" si="1"/>
        <v>0</v>
      </c>
      <c r="I129" s="10"/>
      <c r="K129" s="11"/>
      <c r="L129" s="11"/>
      <c r="M129" s="11"/>
    </row>
    <row r="130" spans="1:13" x14ac:dyDescent="0.2">
      <c r="A130" s="130">
        <v>12131</v>
      </c>
      <c r="B130" s="23" t="s">
        <v>117</v>
      </c>
      <c r="C130" s="207">
        <v>0</v>
      </c>
      <c r="D130" s="207">
        <v>0</v>
      </c>
      <c r="E130" s="207">
        <v>0</v>
      </c>
      <c r="F130" s="207">
        <v>0</v>
      </c>
      <c r="G130" s="207">
        <v>0</v>
      </c>
      <c r="H130" s="10">
        <f t="shared" si="1"/>
        <v>0</v>
      </c>
      <c r="I130" s="10"/>
      <c r="K130" s="11"/>
      <c r="L130" s="11"/>
      <c r="M130" s="11"/>
    </row>
    <row r="131" spans="1:13" x14ac:dyDescent="0.2">
      <c r="A131" s="130">
        <v>12132</v>
      </c>
      <c r="B131" s="23" t="s">
        <v>118</v>
      </c>
      <c r="C131" s="207">
        <v>0</v>
      </c>
      <c r="D131" s="207">
        <v>0</v>
      </c>
      <c r="E131" s="207">
        <v>0</v>
      </c>
      <c r="F131" s="207">
        <v>0</v>
      </c>
      <c r="G131" s="207">
        <v>0</v>
      </c>
      <c r="H131" s="10">
        <f t="shared" si="1"/>
        <v>0</v>
      </c>
      <c r="I131" s="10"/>
      <c r="K131" s="11"/>
      <c r="L131" s="11"/>
      <c r="M131" s="11"/>
    </row>
    <row r="132" spans="1:13" x14ac:dyDescent="0.2">
      <c r="A132" s="130">
        <v>12133</v>
      </c>
      <c r="B132" s="23" t="s">
        <v>119</v>
      </c>
      <c r="C132" s="207">
        <v>0</v>
      </c>
      <c r="D132" s="207">
        <v>0</v>
      </c>
      <c r="E132" s="207">
        <v>0</v>
      </c>
      <c r="F132" s="207">
        <v>0</v>
      </c>
      <c r="G132" s="207">
        <v>0</v>
      </c>
      <c r="H132" s="10">
        <f t="shared" si="1"/>
        <v>0</v>
      </c>
      <c r="I132" s="10"/>
      <c r="K132" s="11"/>
      <c r="L132" s="11"/>
      <c r="M132" s="11"/>
    </row>
    <row r="133" spans="1:13" x14ac:dyDescent="0.2">
      <c r="A133" s="130">
        <v>12134</v>
      </c>
      <c r="B133" s="23" t="s">
        <v>120</v>
      </c>
      <c r="C133" s="207">
        <v>0</v>
      </c>
      <c r="D133" s="207">
        <v>0</v>
      </c>
      <c r="E133" s="207">
        <v>0</v>
      </c>
      <c r="F133" s="207">
        <v>0</v>
      </c>
      <c r="G133" s="207">
        <v>0</v>
      </c>
      <c r="H133" s="10">
        <f t="shared" si="1"/>
        <v>0</v>
      </c>
      <c r="I133" s="10"/>
      <c r="K133" s="11"/>
      <c r="L133" s="11"/>
      <c r="M133" s="11"/>
    </row>
    <row r="134" spans="1:13" x14ac:dyDescent="0.2">
      <c r="A134" s="130">
        <v>12135</v>
      </c>
      <c r="B134" s="23" t="s">
        <v>121</v>
      </c>
      <c r="C134" s="207">
        <v>0</v>
      </c>
      <c r="D134" s="207">
        <v>0</v>
      </c>
      <c r="E134" s="207">
        <v>0</v>
      </c>
      <c r="F134" s="207">
        <v>0</v>
      </c>
      <c r="G134" s="207">
        <v>0</v>
      </c>
      <c r="H134" s="10">
        <f t="shared" si="1"/>
        <v>0</v>
      </c>
      <c r="I134" s="10"/>
      <c r="K134" s="11"/>
      <c r="L134" s="11"/>
      <c r="M134" s="11"/>
    </row>
    <row r="135" spans="1:13" x14ac:dyDescent="0.2">
      <c r="A135" s="130">
        <v>12136</v>
      </c>
      <c r="B135" s="23" t="s">
        <v>122</v>
      </c>
      <c r="C135" s="207">
        <v>0</v>
      </c>
      <c r="D135" s="207">
        <v>0</v>
      </c>
      <c r="E135" s="207">
        <v>0</v>
      </c>
      <c r="F135" s="207">
        <v>0</v>
      </c>
      <c r="G135" s="207">
        <v>0</v>
      </c>
      <c r="H135" s="10">
        <f t="shared" si="1"/>
        <v>0</v>
      </c>
      <c r="I135" s="10"/>
      <c r="K135" s="11"/>
      <c r="L135" s="11"/>
      <c r="M135" s="11"/>
    </row>
    <row r="136" spans="1:13" x14ac:dyDescent="0.2">
      <c r="A136" s="130">
        <v>12137</v>
      </c>
      <c r="B136" s="23" t="s">
        <v>123</v>
      </c>
      <c r="C136" s="207">
        <v>0</v>
      </c>
      <c r="D136" s="207">
        <v>0</v>
      </c>
      <c r="E136" s="207">
        <v>0</v>
      </c>
      <c r="F136" s="207">
        <v>0</v>
      </c>
      <c r="G136" s="207">
        <v>0</v>
      </c>
      <c r="H136" s="10">
        <f t="shared" si="1"/>
        <v>0</v>
      </c>
      <c r="I136" s="10"/>
      <c r="K136" s="11"/>
      <c r="L136" s="11"/>
      <c r="M136" s="11"/>
    </row>
    <row r="137" spans="1:13" x14ac:dyDescent="0.2">
      <c r="A137" s="130">
        <v>12138</v>
      </c>
      <c r="B137" s="23" t="s">
        <v>124</v>
      </c>
      <c r="C137" s="207">
        <v>0</v>
      </c>
      <c r="D137" s="207">
        <v>0</v>
      </c>
      <c r="E137" s="207">
        <v>0</v>
      </c>
      <c r="F137" s="207">
        <v>0</v>
      </c>
      <c r="G137" s="207">
        <v>0</v>
      </c>
      <c r="H137" s="10">
        <f t="shared" si="1"/>
        <v>0</v>
      </c>
      <c r="I137" s="10"/>
      <c r="K137" s="11"/>
      <c r="L137" s="11"/>
      <c r="M137" s="11"/>
    </row>
    <row r="138" spans="1:13" x14ac:dyDescent="0.2">
      <c r="A138" s="130">
        <v>12139</v>
      </c>
      <c r="B138" s="23" t="s">
        <v>125</v>
      </c>
      <c r="C138" s="207">
        <v>0</v>
      </c>
      <c r="D138" s="207">
        <v>0</v>
      </c>
      <c r="E138" s="207">
        <v>0</v>
      </c>
      <c r="F138" s="207">
        <v>0</v>
      </c>
      <c r="G138" s="207">
        <v>0</v>
      </c>
      <c r="H138" s="10">
        <f t="shared" si="1"/>
        <v>0</v>
      </c>
      <c r="I138" s="10"/>
      <c r="K138" s="11"/>
      <c r="L138" s="11"/>
      <c r="M138" s="11"/>
    </row>
    <row r="139" spans="1:13" x14ac:dyDescent="0.2">
      <c r="A139" s="130">
        <v>12141</v>
      </c>
      <c r="B139" s="23" t="s">
        <v>126</v>
      </c>
      <c r="C139" s="207">
        <v>0</v>
      </c>
      <c r="D139" s="207">
        <v>0</v>
      </c>
      <c r="E139" s="207">
        <v>0</v>
      </c>
      <c r="F139" s="207">
        <v>0</v>
      </c>
      <c r="G139" s="207">
        <v>0</v>
      </c>
      <c r="H139" s="10">
        <f t="shared" si="1"/>
        <v>0</v>
      </c>
      <c r="I139" s="10"/>
      <c r="K139" s="11"/>
      <c r="L139" s="11"/>
      <c r="M139" s="11"/>
    </row>
    <row r="140" spans="1:13" x14ac:dyDescent="0.2">
      <c r="A140" s="130">
        <v>12142</v>
      </c>
      <c r="B140" s="23" t="s">
        <v>127</v>
      </c>
      <c r="C140" s="207">
        <v>0</v>
      </c>
      <c r="D140" s="207">
        <v>0</v>
      </c>
      <c r="E140" s="207">
        <v>0</v>
      </c>
      <c r="F140" s="207">
        <v>0</v>
      </c>
      <c r="G140" s="207">
        <v>0</v>
      </c>
      <c r="H140" s="10">
        <f t="shared" si="1"/>
        <v>0</v>
      </c>
      <c r="I140" s="10"/>
      <c r="K140" s="11"/>
      <c r="L140" s="11"/>
      <c r="M140" s="11"/>
    </row>
    <row r="141" spans="1:13" x14ac:dyDescent="0.2">
      <c r="A141" s="130">
        <v>12143</v>
      </c>
      <c r="B141" s="23" t="s">
        <v>128</v>
      </c>
      <c r="C141" s="207">
        <v>0</v>
      </c>
      <c r="D141" s="207">
        <v>0</v>
      </c>
      <c r="E141" s="207">
        <v>0</v>
      </c>
      <c r="F141" s="207">
        <v>0</v>
      </c>
      <c r="G141" s="207">
        <v>0</v>
      </c>
      <c r="H141" s="10">
        <f t="shared" si="1"/>
        <v>0</v>
      </c>
      <c r="I141" s="10"/>
      <c r="K141" s="11"/>
      <c r="L141" s="11"/>
      <c r="M141" s="11"/>
    </row>
    <row r="142" spans="1:13" x14ac:dyDescent="0.2">
      <c r="A142" s="130">
        <v>12211</v>
      </c>
      <c r="B142" s="23" t="s">
        <v>129</v>
      </c>
      <c r="C142" s="207">
        <v>0</v>
      </c>
      <c r="D142" s="207">
        <v>0</v>
      </c>
      <c r="E142" s="207">
        <v>0</v>
      </c>
      <c r="F142" s="207">
        <v>0</v>
      </c>
      <c r="G142" s="207">
        <v>0</v>
      </c>
      <c r="H142" s="10">
        <f t="shared" si="1"/>
        <v>0</v>
      </c>
      <c r="I142" s="10"/>
      <c r="K142" s="11"/>
      <c r="L142" s="11"/>
      <c r="M142" s="11"/>
    </row>
    <row r="143" spans="1:13" x14ac:dyDescent="0.2">
      <c r="A143" s="130">
        <v>12212</v>
      </c>
      <c r="B143" s="23" t="s">
        <v>130</v>
      </c>
      <c r="C143" s="207">
        <v>0</v>
      </c>
      <c r="D143" s="207">
        <v>0</v>
      </c>
      <c r="E143" s="207">
        <v>0</v>
      </c>
      <c r="F143" s="207">
        <v>0</v>
      </c>
      <c r="G143" s="207">
        <v>0</v>
      </c>
      <c r="H143" s="10">
        <f t="shared" si="1"/>
        <v>0</v>
      </c>
      <c r="I143" s="10"/>
      <c r="K143" s="11"/>
      <c r="L143" s="11"/>
      <c r="M143" s="11"/>
    </row>
    <row r="144" spans="1:13" x14ac:dyDescent="0.2">
      <c r="A144" s="130">
        <v>12219</v>
      </c>
      <c r="B144" s="23" t="s">
        <v>131</v>
      </c>
      <c r="C144" s="207">
        <v>0</v>
      </c>
      <c r="D144" s="207">
        <v>0</v>
      </c>
      <c r="E144" s="207">
        <v>0</v>
      </c>
      <c r="F144" s="207">
        <v>0</v>
      </c>
      <c r="G144" s="207">
        <v>0</v>
      </c>
      <c r="H144" s="10">
        <f t="shared" si="1"/>
        <v>0</v>
      </c>
      <c r="I144" s="10"/>
      <c r="K144" s="11"/>
      <c r="L144" s="11"/>
      <c r="M144" s="11"/>
    </row>
    <row r="145" spans="1:13" x14ac:dyDescent="0.2">
      <c r="A145" s="130">
        <v>12221</v>
      </c>
      <c r="B145" s="23" t="s">
        <v>132</v>
      </c>
      <c r="C145" s="207">
        <v>0</v>
      </c>
      <c r="D145" s="207">
        <v>0</v>
      </c>
      <c r="E145" s="207">
        <v>0</v>
      </c>
      <c r="F145" s="207">
        <v>71330</v>
      </c>
      <c r="G145" s="207">
        <v>71330</v>
      </c>
      <c r="H145" s="10">
        <f t="shared" si="1"/>
        <v>0</v>
      </c>
      <c r="I145" s="10"/>
      <c r="K145" s="11"/>
      <c r="L145" s="11"/>
      <c r="M145" s="11"/>
    </row>
    <row r="146" spans="1:13" x14ac:dyDescent="0.2">
      <c r="A146" s="130">
        <v>12231</v>
      </c>
      <c r="B146" s="23" t="s">
        <v>133</v>
      </c>
      <c r="C146" s="207">
        <v>0</v>
      </c>
      <c r="D146" s="207">
        <v>0</v>
      </c>
      <c r="E146" s="207">
        <v>0</v>
      </c>
      <c r="F146" s="207">
        <v>0</v>
      </c>
      <c r="G146" s="207">
        <v>0</v>
      </c>
      <c r="H146" s="10">
        <f t="shared" si="1"/>
        <v>0</v>
      </c>
      <c r="I146" s="10"/>
      <c r="K146" s="11"/>
      <c r="L146" s="11"/>
      <c r="M146" s="11"/>
    </row>
    <row r="147" spans="1:13" x14ac:dyDescent="0.2">
      <c r="A147" s="130">
        <v>12232</v>
      </c>
      <c r="B147" s="23" t="s">
        <v>134</v>
      </c>
      <c r="C147" s="207">
        <v>0</v>
      </c>
      <c r="D147" s="207">
        <v>0</v>
      </c>
      <c r="E147" s="207">
        <v>0</v>
      </c>
      <c r="F147" s="207">
        <v>0</v>
      </c>
      <c r="G147" s="207">
        <v>0</v>
      </c>
      <c r="H147" s="10">
        <f t="shared" ref="H147:H210" si="2">ROUND(E147+F147-G147,2)</f>
        <v>0</v>
      </c>
      <c r="I147" s="10"/>
      <c r="K147" s="11"/>
      <c r="L147" s="11"/>
      <c r="M147" s="11"/>
    </row>
    <row r="148" spans="1:13" x14ac:dyDescent="0.2">
      <c r="A148" s="130">
        <v>12233</v>
      </c>
      <c r="B148" s="23" t="s">
        <v>135</v>
      </c>
      <c r="C148" s="207">
        <v>0</v>
      </c>
      <c r="D148" s="207">
        <v>0</v>
      </c>
      <c r="E148" s="207">
        <v>0</v>
      </c>
      <c r="F148" s="207">
        <v>0</v>
      </c>
      <c r="G148" s="207">
        <v>0</v>
      </c>
      <c r="H148" s="10">
        <f t="shared" si="2"/>
        <v>0</v>
      </c>
      <c r="I148" s="10"/>
      <c r="K148" s="11"/>
      <c r="L148" s="11"/>
      <c r="M148" s="11"/>
    </row>
    <row r="149" spans="1:13" x14ac:dyDescent="0.2">
      <c r="A149" s="130">
        <v>12239</v>
      </c>
      <c r="B149" s="23" t="s">
        <v>136</v>
      </c>
      <c r="C149" s="207">
        <v>0</v>
      </c>
      <c r="D149" s="207">
        <v>0</v>
      </c>
      <c r="E149" s="207">
        <v>0</v>
      </c>
      <c r="F149" s="207">
        <v>0</v>
      </c>
      <c r="G149" s="207">
        <v>0</v>
      </c>
      <c r="H149" s="10">
        <f t="shared" si="2"/>
        <v>0</v>
      </c>
      <c r="I149" s="10"/>
      <c r="K149" s="11"/>
      <c r="L149" s="11"/>
      <c r="M149" s="11"/>
    </row>
    <row r="150" spans="1:13" x14ac:dyDescent="0.2">
      <c r="A150" s="130">
        <v>12241</v>
      </c>
      <c r="B150" s="23" t="s">
        <v>137</v>
      </c>
      <c r="C150" s="207">
        <v>0</v>
      </c>
      <c r="D150" s="207">
        <v>0</v>
      </c>
      <c r="E150" s="207">
        <v>0</v>
      </c>
      <c r="F150" s="207">
        <v>0</v>
      </c>
      <c r="G150" s="207">
        <v>0</v>
      </c>
      <c r="H150" s="10">
        <f t="shared" si="2"/>
        <v>0</v>
      </c>
      <c r="I150" s="10"/>
      <c r="K150" s="11"/>
      <c r="L150" s="11"/>
      <c r="M150" s="11"/>
    </row>
    <row r="151" spans="1:13" x14ac:dyDescent="0.2">
      <c r="A151" s="130">
        <v>12242</v>
      </c>
      <c r="B151" s="23" t="s">
        <v>138</v>
      </c>
      <c r="C151" s="207">
        <v>0</v>
      </c>
      <c r="D151" s="207">
        <v>0</v>
      </c>
      <c r="E151" s="207">
        <v>0</v>
      </c>
      <c r="F151" s="207">
        <v>0</v>
      </c>
      <c r="G151" s="207">
        <v>0</v>
      </c>
      <c r="H151" s="10">
        <f t="shared" si="2"/>
        <v>0</v>
      </c>
      <c r="I151" s="10"/>
      <c r="K151" s="11"/>
      <c r="L151" s="11"/>
      <c r="M151" s="11"/>
    </row>
    <row r="152" spans="1:13" x14ac:dyDescent="0.2">
      <c r="A152" s="130">
        <v>12243</v>
      </c>
      <c r="B152" s="23" t="s">
        <v>139</v>
      </c>
      <c r="C152" s="207">
        <v>0</v>
      </c>
      <c r="D152" s="207">
        <v>0</v>
      </c>
      <c r="E152" s="207">
        <v>0</v>
      </c>
      <c r="F152" s="207">
        <v>0</v>
      </c>
      <c r="G152" s="207">
        <v>0</v>
      </c>
      <c r="H152" s="10">
        <f t="shared" si="2"/>
        <v>0</v>
      </c>
      <c r="I152" s="10"/>
      <c r="K152" s="11"/>
      <c r="L152" s="11"/>
      <c r="M152" s="11"/>
    </row>
    <row r="153" spans="1:13" x14ac:dyDescent="0.2">
      <c r="A153" s="130">
        <v>12291</v>
      </c>
      <c r="B153" s="23" t="s">
        <v>140</v>
      </c>
      <c r="C153" s="207">
        <v>0</v>
      </c>
      <c r="D153" s="207">
        <v>0</v>
      </c>
      <c r="E153" s="207">
        <v>0</v>
      </c>
      <c r="F153" s="207">
        <v>0</v>
      </c>
      <c r="G153" s="207">
        <v>0</v>
      </c>
      <c r="H153" s="10">
        <f t="shared" si="2"/>
        <v>0</v>
      </c>
      <c r="I153" s="10"/>
      <c r="K153" s="11"/>
      <c r="L153" s="11"/>
      <c r="M153" s="11"/>
    </row>
    <row r="154" spans="1:13" x14ac:dyDescent="0.2">
      <c r="A154" s="130">
        <v>12311</v>
      </c>
      <c r="B154" s="23" t="s">
        <v>141</v>
      </c>
      <c r="C154" s="207">
        <v>227603695.58000001</v>
      </c>
      <c r="D154" s="207">
        <v>220789457.41</v>
      </c>
      <c r="E154" s="207">
        <v>220789457.41</v>
      </c>
      <c r="F154" s="207">
        <v>17249021.789999999</v>
      </c>
      <c r="G154" s="207">
        <v>44942927.189999998</v>
      </c>
      <c r="H154" s="10">
        <f t="shared" si="2"/>
        <v>193095552.00999999</v>
      </c>
      <c r="I154" s="10"/>
      <c r="K154" s="11"/>
      <c r="L154" s="11"/>
      <c r="M154" s="11"/>
    </row>
    <row r="155" spans="1:13" x14ac:dyDescent="0.2">
      <c r="A155" s="130">
        <v>12321</v>
      </c>
      <c r="B155" s="23" t="s">
        <v>142</v>
      </c>
      <c r="C155" s="207">
        <v>0</v>
      </c>
      <c r="D155" s="207">
        <v>0</v>
      </c>
      <c r="E155" s="207">
        <v>0</v>
      </c>
      <c r="F155" s="207">
        <v>0</v>
      </c>
      <c r="G155" s="207">
        <v>0</v>
      </c>
      <c r="H155" s="10">
        <f t="shared" si="2"/>
        <v>0</v>
      </c>
      <c r="I155" s="10"/>
      <c r="K155" s="11"/>
      <c r="L155" s="11"/>
      <c r="M155" s="11"/>
    </row>
    <row r="156" spans="1:13" x14ac:dyDescent="0.2">
      <c r="A156" s="130">
        <v>12331</v>
      </c>
      <c r="B156" s="23" t="s">
        <v>143</v>
      </c>
      <c r="C156" s="207">
        <v>220789457.56</v>
      </c>
      <c r="D156" s="207">
        <v>227603695.72999999</v>
      </c>
      <c r="E156" s="207">
        <v>227603695.72999999</v>
      </c>
      <c r="F156" s="207">
        <v>33595921.789999999</v>
      </c>
      <c r="G156" s="207">
        <v>17249021.789999999</v>
      </c>
      <c r="H156" s="10">
        <f t="shared" si="2"/>
        <v>243950595.72999999</v>
      </c>
      <c r="I156" s="10"/>
      <c r="K156" s="11"/>
      <c r="L156" s="11"/>
      <c r="M156" s="11"/>
    </row>
    <row r="157" spans="1:13" x14ac:dyDescent="0.2">
      <c r="A157" s="130">
        <v>12341</v>
      </c>
      <c r="B157" s="23" t="s">
        <v>144</v>
      </c>
      <c r="C157" s="207">
        <v>0</v>
      </c>
      <c r="D157" s="207">
        <v>0</v>
      </c>
      <c r="E157" s="207">
        <v>0</v>
      </c>
      <c r="F157" s="207">
        <v>0</v>
      </c>
      <c r="G157" s="207">
        <v>0</v>
      </c>
      <c r="H157" s="10">
        <f t="shared" si="2"/>
        <v>0</v>
      </c>
      <c r="I157" s="10"/>
      <c r="K157" s="11"/>
      <c r="L157" s="11"/>
      <c r="M157" s="11"/>
    </row>
    <row r="158" spans="1:13" x14ac:dyDescent="0.2">
      <c r="A158" s="130">
        <v>12342</v>
      </c>
      <c r="B158" s="23" t="s">
        <v>145</v>
      </c>
      <c r="C158" s="207">
        <v>0</v>
      </c>
      <c r="D158" s="207">
        <v>0</v>
      </c>
      <c r="E158" s="207">
        <v>0</v>
      </c>
      <c r="F158" s="207">
        <v>0</v>
      </c>
      <c r="G158" s="207">
        <v>0</v>
      </c>
      <c r="H158" s="10">
        <f t="shared" si="2"/>
        <v>0</v>
      </c>
      <c r="I158" s="10"/>
      <c r="K158" s="11"/>
      <c r="L158" s="11"/>
      <c r="M158" s="11"/>
    </row>
    <row r="159" spans="1:13" x14ac:dyDescent="0.2">
      <c r="A159" s="130">
        <v>12343</v>
      </c>
      <c r="B159" s="23" t="s">
        <v>146</v>
      </c>
      <c r="C159" s="207">
        <v>0</v>
      </c>
      <c r="D159" s="207">
        <v>0</v>
      </c>
      <c r="E159" s="207">
        <v>0</v>
      </c>
      <c r="F159" s="207">
        <v>0</v>
      </c>
      <c r="G159" s="207">
        <v>0</v>
      </c>
      <c r="H159" s="10">
        <f t="shared" si="2"/>
        <v>0</v>
      </c>
      <c r="I159" s="10"/>
      <c r="K159" s="11"/>
      <c r="L159" s="11"/>
      <c r="M159" s="11"/>
    </row>
    <row r="160" spans="1:13" x14ac:dyDescent="0.2">
      <c r="A160" s="130">
        <v>12344</v>
      </c>
      <c r="B160" s="23" t="s">
        <v>147</v>
      </c>
      <c r="C160" s="207">
        <v>0</v>
      </c>
      <c r="D160" s="207">
        <v>0</v>
      </c>
      <c r="E160" s="207">
        <v>0</v>
      </c>
      <c r="F160" s="207">
        <v>0</v>
      </c>
      <c r="G160" s="207">
        <v>0</v>
      </c>
      <c r="H160" s="10">
        <f t="shared" si="2"/>
        <v>0</v>
      </c>
      <c r="I160" s="10"/>
      <c r="K160" s="11"/>
      <c r="L160" s="11"/>
      <c r="M160" s="11"/>
    </row>
    <row r="161" spans="1:13" x14ac:dyDescent="0.2">
      <c r="A161" s="130">
        <v>12345</v>
      </c>
      <c r="B161" s="23" t="s">
        <v>148</v>
      </c>
      <c r="C161" s="207">
        <v>0</v>
      </c>
      <c r="D161" s="207">
        <v>0</v>
      </c>
      <c r="E161" s="207">
        <v>0</v>
      </c>
      <c r="F161" s="207">
        <v>0</v>
      </c>
      <c r="G161" s="207">
        <v>0</v>
      </c>
      <c r="H161" s="10">
        <f t="shared" si="2"/>
        <v>0</v>
      </c>
      <c r="I161" s="10"/>
      <c r="K161" s="11"/>
      <c r="L161" s="11"/>
      <c r="M161" s="11"/>
    </row>
    <row r="162" spans="1:13" x14ac:dyDescent="0.2">
      <c r="A162" s="130">
        <v>12346</v>
      </c>
      <c r="B162" s="23" t="s">
        <v>149</v>
      </c>
      <c r="C162" s="207">
        <v>0</v>
      </c>
      <c r="D162" s="207">
        <v>0</v>
      </c>
      <c r="E162" s="207">
        <v>0</v>
      </c>
      <c r="F162" s="207">
        <v>0</v>
      </c>
      <c r="G162" s="207">
        <v>0</v>
      </c>
      <c r="H162" s="10">
        <f t="shared" si="2"/>
        <v>0</v>
      </c>
      <c r="I162" s="10"/>
      <c r="K162" s="11"/>
      <c r="L162" s="11"/>
      <c r="M162" s="11"/>
    </row>
    <row r="163" spans="1:13" x14ac:dyDescent="0.2">
      <c r="A163" s="130">
        <v>12347</v>
      </c>
      <c r="B163" s="23" t="s">
        <v>150</v>
      </c>
      <c r="C163" s="207">
        <v>0</v>
      </c>
      <c r="D163" s="207">
        <v>0</v>
      </c>
      <c r="E163" s="207">
        <v>0</v>
      </c>
      <c r="F163" s="207">
        <v>0</v>
      </c>
      <c r="G163" s="207">
        <v>0</v>
      </c>
      <c r="H163" s="10">
        <f t="shared" si="2"/>
        <v>0</v>
      </c>
      <c r="I163" s="10"/>
      <c r="K163" s="11"/>
      <c r="L163" s="11"/>
      <c r="M163" s="11"/>
    </row>
    <row r="164" spans="1:13" x14ac:dyDescent="0.2">
      <c r="A164" s="130">
        <v>12348</v>
      </c>
      <c r="B164" s="23" t="s">
        <v>151</v>
      </c>
      <c r="C164" s="207">
        <v>0</v>
      </c>
      <c r="D164" s="207">
        <v>0</v>
      </c>
      <c r="E164" s="207">
        <v>0</v>
      </c>
      <c r="F164" s="207">
        <v>0</v>
      </c>
      <c r="G164" s="207">
        <v>0</v>
      </c>
      <c r="H164" s="10">
        <f t="shared" si="2"/>
        <v>0</v>
      </c>
      <c r="I164" s="10"/>
      <c r="K164" s="11"/>
      <c r="L164" s="11"/>
      <c r="M164" s="11"/>
    </row>
    <row r="165" spans="1:13" x14ac:dyDescent="0.2">
      <c r="A165" s="130">
        <v>12349</v>
      </c>
      <c r="B165" s="23" t="s">
        <v>152</v>
      </c>
      <c r="C165" s="207">
        <v>0</v>
      </c>
      <c r="D165" s="207">
        <v>0</v>
      </c>
      <c r="E165" s="207">
        <v>0</v>
      </c>
      <c r="F165" s="207">
        <v>0</v>
      </c>
      <c r="G165" s="207">
        <v>0</v>
      </c>
      <c r="H165" s="10">
        <f t="shared" si="2"/>
        <v>0</v>
      </c>
      <c r="I165" s="10"/>
      <c r="K165" s="11"/>
      <c r="L165" s="11"/>
      <c r="M165" s="11"/>
    </row>
    <row r="166" spans="1:13" x14ac:dyDescent="0.2">
      <c r="A166" s="130">
        <v>12351</v>
      </c>
      <c r="B166" s="23" t="s">
        <v>153</v>
      </c>
      <c r="C166" s="207">
        <v>0</v>
      </c>
      <c r="D166" s="207">
        <v>0</v>
      </c>
      <c r="E166" s="207">
        <v>0</v>
      </c>
      <c r="F166" s="207">
        <v>0</v>
      </c>
      <c r="G166" s="207">
        <v>0</v>
      </c>
      <c r="H166" s="10">
        <f t="shared" si="2"/>
        <v>0</v>
      </c>
      <c r="I166" s="10"/>
      <c r="K166" s="11"/>
      <c r="L166" s="11"/>
      <c r="M166" s="11"/>
    </row>
    <row r="167" spans="1:13" x14ac:dyDescent="0.2">
      <c r="A167" s="130">
        <v>12352</v>
      </c>
      <c r="B167" s="23" t="s">
        <v>154</v>
      </c>
      <c r="C167" s="207">
        <v>0</v>
      </c>
      <c r="D167" s="207">
        <v>0</v>
      </c>
      <c r="E167" s="207">
        <v>0</v>
      </c>
      <c r="F167" s="207">
        <v>0</v>
      </c>
      <c r="G167" s="207">
        <v>0</v>
      </c>
      <c r="H167" s="10">
        <f t="shared" si="2"/>
        <v>0</v>
      </c>
      <c r="I167" s="10"/>
      <c r="K167" s="11"/>
      <c r="L167" s="11"/>
      <c r="M167" s="11"/>
    </row>
    <row r="168" spans="1:13" x14ac:dyDescent="0.2">
      <c r="A168" s="130">
        <v>12353</v>
      </c>
      <c r="B168" s="23" t="s">
        <v>155</v>
      </c>
      <c r="C168" s="207">
        <v>0</v>
      </c>
      <c r="D168" s="207">
        <v>0</v>
      </c>
      <c r="E168" s="207">
        <v>0</v>
      </c>
      <c r="F168" s="207">
        <v>0</v>
      </c>
      <c r="G168" s="207">
        <v>0</v>
      </c>
      <c r="H168" s="10">
        <f t="shared" si="2"/>
        <v>0</v>
      </c>
      <c r="I168" s="10"/>
      <c r="K168" s="11"/>
      <c r="L168" s="11"/>
      <c r="M168" s="11"/>
    </row>
    <row r="169" spans="1:13" x14ac:dyDescent="0.2">
      <c r="A169" s="130">
        <v>12354</v>
      </c>
      <c r="B169" s="23" t="s">
        <v>156</v>
      </c>
      <c r="C169" s="207">
        <v>0</v>
      </c>
      <c r="D169" s="207">
        <v>0</v>
      </c>
      <c r="E169" s="207">
        <v>0</v>
      </c>
      <c r="F169" s="207">
        <v>0</v>
      </c>
      <c r="G169" s="207">
        <v>0</v>
      </c>
      <c r="H169" s="10">
        <f t="shared" si="2"/>
        <v>0</v>
      </c>
      <c r="I169" s="10"/>
      <c r="K169" s="11"/>
      <c r="L169" s="11"/>
      <c r="M169" s="11"/>
    </row>
    <row r="170" spans="1:13" x14ac:dyDescent="0.2">
      <c r="A170" s="130">
        <v>12355</v>
      </c>
      <c r="B170" s="23" t="s">
        <v>157</v>
      </c>
      <c r="C170" s="207">
        <v>0</v>
      </c>
      <c r="D170" s="207">
        <v>0</v>
      </c>
      <c r="E170" s="207">
        <v>0</v>
      </c>
      <c r="F170" s="207">
        <v>0</v>
      </c>
      <c r="G170" s="207">
        <v>0</v>
      </c>
      <c r="H170" s="10">
        <f t="shared" si="2"/>
        <v>0</v>
      </c>
      <c r="I170" s="10"/>
      <c r="K170" s="11"/>
      <c r="L170" s="11"/>
      <c r="M170" s="11"/>
    </row>
    <row r="171" spans="1:13" x14ac:dyDescent="0.2">
      <c r="A171" s="130">
        <v>12356</v>
      </c>
      <c r="B171" s="23" t="s">
        <v>158</v>
      </c>
      <c r="C171" s="207">
        <v>0</v>
      </c>
      <c r="D171" s="207">
        <v>0</v>
      </c>
      <c r="E171" s="207">
        <v>0</v>
      </c>
      <c r="F171" s="207">
        <v>0</v>
      </c>
      <c r="G171" s="207">
        <v>0</v>
      </c>
      <c r="H171" s="10">
        <f t="shared" si="2"/>
        <v>0</v>
      </c>
      <c r="I171" s="10"/>
      <c r="K171" s="11"/>
      <c r="L171" s="11"/>
      <c r="M171" s="11"/>
    </row>
    <row r="172" spans="1:13" x14ac:dyDescent="0.2">
      <c r="A172" s="130">
        <v>12357</v>
      </c>
      <c r="B172" s="23" t="s">
        <v>159</v>
      </c>
      <c r="C172" s="207">
        <v>0</v>
      </c>
      <c r="D172" s="207">
        <v>0</v>
      </c>
      <c r="E172" s="207">
        <v>0</v>
      </c>
      <c r="F172" s="207">
        <v>0</v>
      </c>
      <c r="G172" s="207">
        <v>0</v>
      </c>
      <c r="H172" s="10">
        <f t="shared" si="2"/>
        <v>0</v>
      </c>
      <c r="I172" s="10"/>
      <c r="K172" s="11"/>
      <c r="L172" s="11"/>
      <c r="M172" s="11"/>
    </row>
    <row r="173" spans="1:13" x14ac:dyDescent="0.2">
      <c r="A173" s="130">
        <v>12359</v>
      </c>
      <c r="B173" s="23" t="s">
        <v>160</v>
      </c>
      <c r="C173" s="207">
        <v>0</v>
      </c>
      <c r="D173" s="207">
        <v>0</v>
      </c>
      <c r="E173" s="207">
        <v>0</v>
      </c>
      <c r="F173" s="207">
        <v>0</v>
      </c>
      <c r="G173" s="207">
        <v>0</v>
      </c>
      <c r="H173" s="10">
        <f t="shared" si="2"/>
        <v>0</v>
      </c>
      <c r="I173" s="10"/>
      <c r="K173" s="11"/>
      <c r="L173" s="11"/>
      <c r="M173" s="11"/>
    </row>
    <row r="174" spans="1:13" x14ac:dyDescent="0.2">
      <c r="A174" s="130">
        <v>12361</v>
      </c>
      <c r="B174" s="23" t="s">
        <v>153</v>
      </c>
      <c r="C174" s="207">
        <v>0</v>
      </c>
      <c r="D174" s="207">
        <v>0</v>
      </c>
      <c r="E174" s="207">
        <v>0</v>
      </c>
      <c r="F174" s="207">
        <v>0</v>
      </c>
      <c r="G174" s="207">
        <v>0</v>
      </c>
      <c r="H174" s="10">
        <f t="shared" si="2"/>
        <v>0</v>
      </c>
      <c r="I174" s="10"/>
      <c r="K174" s="11"/>
      <c r="L174" s="11"/>
      <c r="M174" s="11"/>
    </row>
    <row r="175" spans="1:13" x14ac:dyDescent="0.2">
      <c r="A175" s="130">
        <v>12362</v>
      </c>
      <c r="B175" s="23" t="s">
        <v>154</v>
      </c>
      <c r="C175" s="207">
        <v>0</v>
      </c>
      <c r="D175" s="207">
        <v>0</v>
      </c>
      <c r="E175" s="207">
        <v>0</v>
      </c>
      <c r="F175" s="207">
        <v>0</v>
      </c>
      <c r="G175" s="207">
        <v>0</v>
      </c>
      <c r="H175" s="10">
        <f t="shared" si="2"/>
        <v>0</v>
      </c>
      <c r="I175" s="10"/>
      <c r="K175" s="11"/>
      <c r="L175" s="11"/>
      <c r="M175" s="11"/>
    </row>
    <row r="176" spans="1:13" x14ac:dyDescent="0.2">
      <c r="A176" s="130">
        <v>12363</v>
      </c>
      <c r="B176" s="23" t="s">
        <v>155</v>
      </c>
      <c r="C176" s="207">
        <v>0</v>
      </c>
      <c r="D176" s="207">
        <v>0</v>
      </c>
      <c r="E176" s="207">
        <v>0</v>
      </c>
      <c r="F176" s="207">
        <v>0</v>
      </c>
      <c r="G176" s="207">
        <v>0</v>
      </c>
      <c r="H176" s="10">
        <f t="shared" si="2"/>
        <v>0</v>
      </c>
      <c r="I176" s="10"/>
      <c r="K176" s="11"/>
      <c r="L176" s="11"/>
      <c r="M176" s="11"/>
    </row>
    <row r="177" spans="1:13" x14ac:dyDescent="0.2">
      <c r="A177" s="130">
        <v>12364</v>
      </c>
      <c r="B177" s="23" t="s">
        <v>156</v>
      </c>
      <c r="C177" s="207">
        <v>0</v>
      </c>
      <c r="D177" s="207">
        <v>0</v>
      </c>
      <c r="E177" s="207">
        <v>0</v>
      </c>
      <c r="F177" s="207">
        <v>0</v>
      </c>
      <c r="G177" s="207">
        <v>0</v>
      </c>
      <c r="H177" s="10">
        <f t="shared" si="2"/>
        <v>0</v>
      </c>
      <c r="I177" s="10"/>
      <c r="K177" s="11"/>
      <c r="L177" s="11"/>
      <c r="M177" s="11"/>
    </row>
    <row r="178" spans="1:13" x14ac:dyDescent="0.2">
      <c r="A178" s="130">
        <v>12365</v>
      </c>
      <c r="B178" s="23" t="s">
        <v>157</v>
      </c>
      <c r="C178" s="207">
        <v>0</v>
      </c>
      <c r="D178" s="207">
        <v>0</v>
      </c>
      <c r="E178" s="207">
        <v>0</v>
      </c>
      <c r="F178" s="207">
        <v>0</v>
      </c>
      <c r="G178" s="207">
        <v>0</v>
      </c>
      <c r="H178" s="10">
        <f t="shared" si="2"/>
        <v>0</v>
      </c>
      <c r="I178" s="10"/>
      <c r="K178" s="11"/>
      <c r="L178" s="11"/>
      <c r="M178" s="11"/>
    </row>
    <row r="179" spans="1:13" x14ac:dyDescent="0.2">
      <c r="A179" s="130">
        <v>12366</v>
      </c>
      <c r="B179" s="23" t="s">
        <v>158</v>
      </c>
      <c r="C179" s="207">
        <v>0</v>
      </c>
      <c r="D179" s="207">
        <v>0</v>
      </c>
      <c r="E179" s="207">
        <v>0</v>
      </c>
      <c r="F179" s="207">
        <v>0</v>
      </c>
      <c r="G179" s="207">
        <v>0</v>
      </c>
      <c r="H179" s="10">
        <f t="shared" si="2"/>
        <v>0</v>
      </c>
      <c r="I179" s="10"/>
      <c r="K179" s="11"/>
      <c r="L179" s="11"/>
      <c r="M179" s="11"/>
    </row>
    <row r="180" spans="1:13" x14ac:dyDescent="0.2">
      <c r="A180" s="130">
        <v>12367</v>
      </c>
      <c r="B180" s="23" t="s">
        <v>159</v>
      </c>
      <c r="C180" s="207">
        <v>0</v>
      </c>
      <c r="D180" s="207">
        <v>0</v>
      </c>
      <c r="E180" s="207">
        <v>0</v>
      </c>
      <c r="F180" s="207">
        <v>0</v>
      </c>
      <c r="G180" s="207">
        <v>0</v>
      </c>
      <c r="H180" s="10">
        <f t="shared" si="2"/>
        <v>0</v>
      </c>
      <c r="I180" s="10"/>
      <c r="K180" s="11"/>
      <c r="L180" s="11"/>
      <c r="M180" s="11"/>
    </row>
    <row r="181" spans="1:13" x14ac:dyDescent="0.2">
      <c r="A181" s="130">
        <v>12369</v>
      </c>
      <c r="B181" s="23" t="s">
        <v>160</v>
      </c>
      <c r="C181" s="207">
        <v>0</v>
      </c>
      <c r="D181" s="207">
        <v>0</v>
      </c>
      <c r="E181" s="207">
        <v>0</v>
      </c>
      <c r="F181" s="207">
        <v>0</v>
      </c>
      <c r="G181" s="207">
        <v>0</v>
      </c>
      <c r="H181" s="10">
        <f t="shared" si="2"/>
        <v>0</v>
      </c>
      <c r="I181" s="10"/>
      <c r="K181" s="11"/>
      <c r="L181" s="11"/>
      <c r="M181" s="11"/>
    </row>
    <row r="182" spans="1:13" x14ac:dyDescent="0.2">
      <c r="A182" s="130">
        <v>12391</v>
      </c>
      <c r="B182" s="23" t="s">
        <v>161</v>
      </c>
      <c r="C182" s="207">
        <v>1315891.6299999999</v>
      </c>
      <c r="D182" s="207">
        <v>1315891.6299999999</v>
      </c>
      <c r="E182" s="207">
        <v>1315891.6299999999</v>
      </c>
      <c r="F182" s="207">
        <v>0</v>
      </c>
      <c r="G182" s="207">
        <v>1232900.3600000001</v>
      </c>
      <c r="H182" s="10">
        <f t="shared" si="2"/>
        <v>82991.27</v>
      </c>
      <c r="I182" s="10"/>
      <c r="K182" s="11"/>
      <c r="L182" s="11"/>
      <c r="M182" s="11"/>
    </row>
    <row r="183" spans="1:13" x14ac:dyDescent="0.2">
      <c r="A183" s="130">
        <v>12411</v>
      </c>
      <c r="B183" s="23" t="s">
        <v>162</v>
      </c>
      <c r="C183" s="207">
        <v>69080573.879999995</v>
      </c>
      <c r="D183" s="207">
        <v>69428474.200000003</v>
      </c>
      <c r="E183" s="207">
        <v>69428474.200000003</v>
      </c>
      <c r="F183" s="207">
        <v>5005349.05</v>
      </c>
      <c r="G183" s="207">
        <v>24977239.489999998</v>
      </c>
      <c r="H183" s="10">
        <f t="shared" si="2"/>
        <v>49456583.759999998</v>
      </c>
      <c r="I183" s="10"/>
      <c r="K183" s="11"/>
      <c r="L183" s="11"/>
      <c r="M183" s="11"/>
    </row>
    <row r="184" spans="1:13" x14ac:dyDescent="0.2">
      <c r="A184" s="130">
        <v>12412</v>
      </c>
      <c r="B184" s="23" t="s">
        <v>163</v>
      </c>
      <c r="C184" s="207">
        <v>450729.6</v>
      </c>
      <c r="D184" s="207">
        <v>745769.08</v>
      </c>
      <c r="E184" s="207">
        <v>745769.08</v>
      </c>
      <c r="F184" s="207">
        <v>5265674.4800000004</v>
      </c>
      <c r="G184" s="207">
        <v>329534.73</v>
      </c>
      <c r="H184" s="10">
        <f t="shared" si="2"/>
        <v>5681908.8300000001</v>
      </c>
      <c r="I184" s="10"/>
      <c r="K184" s="11"/>
      <c r="L184" s="11"/>
      <c r="M184" s="11"/>
    </row>
    <row r="185" spans="1:13" x14ac:dyDescent="0.2">
      <c r="A185" s="130">
        <v>12413</v>
      </c>
      <c r="B185" s="23" t="s">
        <v>164</v>
      </c>
      <c r="C185" s="207">
        <v>280505340.81999999</v>
      </c>
      <c r="D185" s="207">
        <v>258421079.13999999</v>
      </c>
      <c r="E185" s="207">
        <v>258421079.13999999</v>
      </c>
      <c r="F185" s="207">
        <v>44338255.109999999</v>
      </c>
      <c r="G185" s="207">
        <v>31429592.440000001</v>
      </c>
      <c r="H185" s="10">
        <f t="shared" si="2"/>
        <v>271329741.81</v>
      </c>
      <c r="I185" s="10"/>
      <c r="K185" s="11"/>
      <c r="L185" s="11"/>
      <c r="M185" s="11"/>
    </row>
    <row r="186" spans="1:13" x14ac:dyDescent="0.2">
      <c r="A186" s="130">
        <v>12419</v>
      </c>
      <c r="B186" s="23" t="s">
        <v>165</v>
      </c>
      <c r="C186" s="207">
        <v>23431941.66</v>
      </c>
      <c r="D186" s="207">
        <v>25604160.079999998</v>
      </c>
      <c r="E186" s="207">
        <v>25604160.079999998</v>
      </c>
      <c r="F186" s="207">
        <v>6523789.1200000001</v>
      </c>
      <c r="G186" s="207">
        <v>3371002.26</v>
      </c>
      <c r="H186" s="10">
        <f t="shared" si="2"/>
        <v>28756946.940000001</v>
      </c>
      <c r="I186" s="10"/>
      <c r="K186" s="11"/>
      <c r="L186" s="11"/>
      <c r="M186" s="11"/>
    </row>
    <row r="187" spans="1:13" x14ac:dyDescent="0.2">
      <c r="A187" s="130">
        <v>12421</v>
      </c>
      <c r="B187" s="23" t="s">
        <v>166</v>
      </c>
      <c r="C187" s="207">
        <v>106494553.03</v>
      </c>
      <c r="D187" s="207">
        <v>98753222.629999995</v>
      </c>
      <c r="E187" s="207">
        <v>98753222.629999995</v>
      </c>
      <c r="F187" s="207">
        <v>8208294.3099999996</v>
      </c>
      <c r="G187" s="452">
        <v>15889048.52</v>
      </c>
      <c r="H187" s="10">
        <f t="shared" si="2"/>
        <v>91072468.420000002</v>
      </c>
      <c r="I187" s="10"/>
      <c r="K187" s="11"/>
      <c r="L187" s="11"/>
      <c r="M187" s="11"/>
    </row>
    <row r="188" spans="1:13" x14ac:dyDescent="0.2">
      <c r="A188" s="130">
        <v>12422</v>
      </c>
      <c r="B188" s="23" t="s">
        <v>167</v>
      </c>
      <c r="C188" s="207">
        <v>1831163.99</v>
      </c>
      <c r="D188" s="207">
        <v>1786575.12</v>
      </c>
      <c r="E188" s="207">
        <v>1786575.12</v>
      </c>
      <c r="F188" s="207">
        <v>1369101.84</v>
      </c>
      <c r="G188" s="207">
        <v>1375957.57</v>
      </c>
      <c r="H188" s="10">
        <f t="shared" si="2"/>
        <v>1779719.39</v>
      </c>
      <c r="I188" s="10"/>
      <c r="K188" s="11"/>
      <c r="L188" s="11"/>
      <c r="M188" s="11"/>
    </row>
    <row r="189" spans="1:13" x14ac:dyDescent="0.2">
      <c r="A189" s="130">
        <v>12423</v>
      </c>
      <c r="B189" s="23" t="s">
        <v>168</v>
      </c>
      <c r="C189" s="207">
        <v>250181.12</v>
      </c>
      <c r="D189" s="207">
        <v>225142.5</v>
      </c>
      <c r="E189" s="207">
        <v>225142.5</v>
      </c>
      <c r="F189" s="207">
        <v>8503799.3300000001</v>
      </c>
      <c r="G189" s="207">
        <v>333770.40000000002</v>
      </c>
      <c r="H189" s="10">
        <f t="shared" si="2"/>
        <v>8395171.4299999997</v>
      </c>
      <c r="I189" s="10"/>
      <c r="K189" s="11"/>
      <c r="L189" s="11"/>
      <c r="M189" s="11"/>
    </row>
    <row r="190" spans="1:13" x14ac:dyDescent="0.2">
      <c r="A190" s="130">
        <v>12429</v>
      </c>
      <c r="B190" s="23" t="s">
        <v>169</v>
      </c>
      <c r="C190" s="207">
        <v>47863240.729999997</v>
      </c>
      <c r="D190" s="207">
        <v>35209056.509999998</v>
      </c>
      <c r="E190" s="207">
        <v>35209056.509999998</v>
      </c>
      <c r="F190" s="207">
        <v>11096558.01</v>
      </c>
      <c r="G190" s="207">
        <v>8075098.7400000002</v>
      </c>
      <c r="H190" s="10">
        <f t="shared" si="2"/>
        <v>38230515.780000001</v>
      </c>
      <c r="I190" s="10"/>
      <c r="K190" s="11"/>
      <c r="L190" s="11"/>
      <c r="M190" s="11"/>
    </row>
    <row r="191" spans="1:13" x14ac:dyDescent="0.2">
      <c r="A191" s="130">
        <v>12431</v>
      </c>
      <c r="B191" s="23" t="s">
        <v>170</v>
      </c>
      <c r="C191" s="207">
        <v>11456946.51</v>
      </c>
      <c r="D191" s="207">
        <v>11160788.890000001</v>
      </c>
      <c r="E191" s="207">
        <v>11160788.890000001</v>
      </c>
      <c r="F191" s="207">
        <v>411079.34</v>
      </c>
      <c r="G191" s="207">
        <v>4925993.74</v>
      </c>
      <c r="H191" s="10">
        <f t="shared" si="2"/>
        <v>6645874.4900000002</v>
      </c>
      <c r="I191" s="10"/>
      <c r="K191" s="11"/>
      <c r="L191" s="11"/>
      <c r="M191" s="11"/>
    </row>
    <row r="192" spans="1:13" x14ac:dyDescent="0.2">
      <c r="A192" s="130">
        <v>12432</v>
      </c>
      <c r="B192" s="23" t="s">
        <v>171</v>
      </c>
      <c r="C192" s="207">
        <v>1201457.97</v>
      </c>
      <c r="D192" s="207">
        <v>1197602.51</v>
      </c>
      <c r="E192" s="207">
        <v>1197602.51</v>
      </c>
      <c r="F192" s="207">
        <v>6895772.4500000002</v>
      </c>
      <c r="G192" s="207">
        <v>141188.26999999999</v>
      </c>
      <c r="H192" s="10">
        <f t="shared" si="2"/>
        <v>7952186.6900000004</v>
      </c>
      <c r="I192" s="10"/>
      <c r="K192" s="11"/>
      <c r="L192" s="11"/>
      <c r="M192" s="11"/>
    </row>
    <row r="193" spans="1:13" x14ac:dyDescent="0.2">
      <c r="A193" s="130">
        <v>12441</v>
      </c>
      <c r="B193" s="23" t="s">
        <v>172</v>
      </c>
      <c r="C193" s="207">
        <v>22187669.68</v>
      </c>
      <c r="D193" s="207">
        <v>20323100.469999999</v>
      </c>
      <c r="E193" s="207">
        <v>20323100.469999999</v>
      </c>
      <c r="F193" s="207">
        <v>2928369.05</v>
      </c>
      <c r="G193" s="207">
        <v>486540</v>
      </c>
      <c r="H193" s="10">
        <f t="shared" si="2"/>
        <v>22764929.52</v>
      </c>
      <c r="I193" s="10"/>
      <c r="K193" s="11"/>
      <c r="L193" s="11"/>
      <c r="M193" s="11"/>
    </row>
    <row r="194" spans="1:13" x14ac:dyDescent="0.2">
      <c r="A194" s="130">
        <v>12442</v>
      </c>
      <c r="B194" s="23" t="s">
        <v>173</v>
      </c>
      <c r="C194" s="207">
        <v>0</v>
      </c>
      <c r="D194" s="207">
        <v>0</v>
      </c>
      <c r="E194" s="207">
        <v>0</v>
      </c>
      <c r="F194" s="207">
        <v>0</v>
      </c>
      <c r="G194" s="207">
        <v>0</v>
      </c>
      <c r="H194" s="10">
        <f t="shared" si="2"/>
        <v>0</v>
      </c>
      <c r="I194" s="10"/>
      <c r="K194" s="11"/>
      <c r="L194" s="11"/>
      <c r="M194" s="11"/>
    </row>
    <row r="195" spans="1:13" x14ac:dyDescent="0.2">
      <c r="A195" s="130">
        <v>12443</v>
      </c>
      <c r="B195" s="23" t="s">
        <v>174</v>
      </c>
      <c r="C195" s="207">
        <v>0</v>
      </c>
      <c r="D195" s="207">
        <v>0</v>
      </c>
      <c r="E195" s="207">
        <v>0</v>
      </c>
      <c r="F195" s="207">
        <v>0</v>
      </c>
      <c r="G195" s="207">
        <v>0</v>
      </c>
      <c r="H195" s="10">
        <f t="shared" si="2"/>
        <v>0</v>
      </c>
      <c r="I195" s="10"/>
      <c r="K195" s="11"/>
      <c r="L195" s="11"/>
      <c r="M195" s="11"/>
    </row>
    <row r="196" spans="1:13" x14ac:dyDescent="0.2">
      <c r="A196" s="130">
        <v>12444</v>
      </c>
      <c r="B196" s="23" t="s">
        <v>175</v>
      </c>
      <c r="C196" s="207">
        <v>0</v>
      </c>
      <c r="D196" s="207">
        <v>0</v>
      </c>
      <c r="E196" s="207">
        <v>0</v>
      </c>
      <c r="F196" s="207">
        <v>0</v>
      </c>
      <c r="G196" s="207">
        <v>0</v>
      </c>
      <c r="H196" s="10">
        <f t="shared" si="2"/>
        <v>0</v>
      </c>
      <c r="I196" s="10"/>
      <c r="K196" s="11"/>
      <c r="L196" s="11"/>
      <c r="M196" s="11"/>
    </row>
    <row r="197" spans="1:13" x14ac:dyDescent="0.2">
      <c r="A197" s="130">
        <v>12445</v>
      </c>
      <c r="B197" s="23" t="s">
        <v>176</v>
      </c>
      <c r="C197" s="207">
        <v>0</v>
      </c>
      <c r="D197" s="207">
        <v>0</v>
      </c>
      <c r="E197" s="207">
        <v>0</v>
      </c>
      <c r="F197" s="207">
        <v>0</v>
      </c>
      <c r="G197" s="207">
        <v>0</v>
      </c>
      <c r="H197" s="10">
        <f t="shared" si="2"/>
        <v>0</v>
      </c>
      <c r="I197" s="10"/>
      <c r="K197" s="11"/>
      <c r="L197" s="11"/>
      <c r="M197" s="11"/>
    </row>
    <row r="198" spans="1:13" x14ac:dyDescent="0.2">
      <c r="A198" s="130">
        <v>12449</v>
      </c>
      <c r="B198" s="23" t="s">
        <v>177</v>
      </c>
      <c r="C198" s="207">
        <v>0</v>
      </c>
      <c r="D198" s="207">
        <v>0</v>
      </c>
      <c r="E198" s="207">
        <v>0</v>
      </c>
      <c r="F198" s="207">
        <v>0</v>
      </c>
      <c r="G198" s="207">
        <v>0</v>
      </c>
      <c r="H198" s="10">
        <f t="shared" si="2"/>
        <v>0</v>
      </c>
      <c r="I198" s="10"/>
      <c r="K198" s="11"/>
      <c r="L198" s="11"/>
      <c r="M198" s="11"/>
    </row>
    <row r="199" spans="1:13" x14ac:dyDescent="0.2">
      <c r="A199" s="130">
        <v>12451</v>
      </c>
      <c r="B199" s="23" t="s">
        <v>178</v>
      </c>
      <c r="C199" s="207">
        <v>0</v>
      </c>
      <c r="D199" s="207">
        <v>0</v>
      </c>
      <c r="E199" s="207">
        <v>0</v>
      </c>
      <c r="F199" s="207">
        <v>0</v>
      </c>
      <c r="G199" s="207">
        <v>0</v>
      </c>
      <c r="H199" s="10">
        <f t="shared" si="2"/>
        <v>0</v>
      </c>
      <c r="I199" s="10"/>
      <c r="K199" s="11"/>
      <c r="L199" s="11"/>
      <c r="M199" s="11"/>
    </row>
    <row r="200" spans="1:13" x14ac:dyDescent="0.2">
      <c r="A200" s="130">
        <v>12461</v>
      </c>
      <c r="B200" s="23" t="s">
        <v>179</v>
      </c>
      <c r="C200" s="207">
        <v>249358.45</v>
      </c>
      <c r="D200" s="207">
        <v>254305.01</v>
      </c>
      <c r="E200" s="207">
        <v>254305.01</v>
      </c>
      <c r="F200" s="207">
        <v>235927.7</v>
      </c>
      <c r="G200" s="207">
        <v>33003.94</v>
      </c>
      <c r="H200" s="10">
        <f t="shared" si="2"/>
        <v>457228.77</v>
      </c>
      <c r="I200" s="10"/>
      <c r="K200" s="11"/>
      <c r="L200" s="11"/>
      <c r="M200" s="11"/>
    </row>
    <row r="201" spans="1:13" x14ac:dyDescent="0.2">
      <c r="A201" s="130">
        <v>12462</v>
      </c>
      <c r="B201" s="23" t="s">
        <v>180</v>
      </c>
      <c r="C201" s="207">
        <v>0</v>
      </c>
      <c r="D201" s="207">
        <v>0</v>
      </c>
      <c r="E201" s="207">
        <v>0</v>
      </c>
      <c r="F201" s="207">
        <v>0</v>
      </c>
      <c r="G201" s="207">
        <v>0</v>
      </c>
      <c r="H201" s="10">
        <f t="shared" si="2"/>
        <v>0</v>
      </c>
      <c r="I201" s="10"/>
      <c r="K201" s="11"/>
      <c r="L201" s="11"/>
      <c r="M201" s="11"/>
    </row>
    <row r="202" spans="1:13" x14ac:dyDescent="0.2">
      <c r="A202" s="130">
        <v>12463</v>
      </c>
      <c r="B202" s="23" t="s">
        <v>181</v>
      </c>
      <c r="C202" s="207">
        <v>0</v>
      </c>
      <c r="D202" s="207">
        <v>0</v>
      </c>
      <c r="E202" s="207">
        <v>0</v>
      </c>
      <c r="F202" s="207">
        <v>0</v>
      </c>
      <c r="G202" s="207">
        <v>0</v>
      </c>
      <c r="H202" s="10">
        <f t="shared" si="2"/>
        <v>0</v>
      </c>
      <c r="I202" s="10"/>
      <c r="K202" s="11"/>
      <c r="L202" s="11"/>
      <c r="M202" s="11"/>
    </row>
    <row r="203" spans="1:13" x14ac:dyDescent="0.2">
      <c r="A203" s="130">
        <v>12464</v>
      </c>
      <c r="B203" s="23" t="s">
        <v>182</v>
      </c>
      <c r="C203" s="207">
        <v>0</v>
      </c>
      <c r="D203" s="207">
        <v>0</v>
      </c>
      <c r="E203" s="207">
        <v>0</v>
      </c>
      <c r="F203" s="207">
        <v>0</v>
      </c>
      <c r="G203" s="207">
        <v>0</v>
      </c>
      <c r="H203" s="10">
        <f t="shared" si="2"/>
        <v>0</v>
      </c>
      <c r="I203" s="10"/>
      <c r="K203" s="11"/>
      <c r="L203" s="11"/>
      <c r="M203" s="11"/>
    </row>
    <row r="204" spans="1:13" x14ac:dyDescent="0.2">
      <c r="A204" s="130">
        <v>12465</v>
      </c>
      <c r="B204" s="23" t="s">
        <v>183</v>
      </c>
      <c r="C204" s="207">
        <v>35946850.609999999</v>
      </c>
      <c r="D204" s="207">
        <v>36259952.25</v>
      </c>
      <c r="E204" s="207">
        <v>36259952.25</v>
      </c>
      <c r="F204" s="207">
        <v>453055.92</v>
      </c>
      <c r="G204" s="207">
        <v>6540202.6299999999</v>
      </c>
      <c r="H204" s="10">
        <f t="shared" si="2"/>
        <v>30172805.539999999</v>
      </c>
      <c r="I204" s="10"/>
      <c r="K204" s="11"/>
      <c r="L204" s="11"/>
      <c r="M204" s="11"/>
    </row>
    <row r="205" spans="1:13" x14ac:dyDescent="0.2">
      <c r="A205" s="130">
        <v>12466</v>
      </c>
      <c r="B205" s="23" t="s">
        <v>184</v>
      </c>
      <c r="C205" s="207">
        <v>11677847.42</v>
      </c>
      <c r="D205" s="207">
        <v>11175437.439999999</v>
      </c>
      <c r="E205" s="207">
        <v>11175437.439999999</v>
      </c>
      <c r="F205" s="207">
        <v>8637431.6500000004</v>
      </c>
      <c r="G205" s="207">
        <v>723327.82</v>
      </c>
      <c r="H205" s="10">
        <f t="shared" si="2"/>
        <v>19089541.27</v>
      </c>
      <c r="I205" s="10"/>
      <c r="K205" s="11"/>
      <c r="L205" s="11"/>
      <c r="M205" s="11"/>
    </row>
    <row r="206" spans="1:13" x14ac:dyDescent="0.2">
      <c r="A206" s="130">
        <v>12467</v>
      </c>
      <c r="B206" s="23" t="s">
        <v>185</v>
      </c>
      <c r="C206" s="207">
        <v>5099388.91</v>
      </c>
      <c r="D206" s="207">
        <v>4895358.2699999996</v>
      </c>
      <c r="E206" s="207">
        <v>4895358.2699999996</v>
      </c>
      <c r="F206" s="207">
        <v>3726936.4</v>
      </c>
      <c r="G206" s="207">
        <v>1359291.17</v>
      </c>
      <c r="H206" s="10">
        <f t="shared" si="2"/>
        <v>7263003.5</v>
      </c>
      <c r="I206" s="10"/>
      <c r="K206" s="11"/>
      <c r="L206" s="11"/>
      <c r="M206" s="11"/>
    </row>
    <row r="207" spans="1:13" x14ac:dyDescent="0.2">
      <c r="A207" s="130">
        <v>12469</v>
      </c>
      <c r="B207" s="23" t="s">
        <v>186</v>
      </c>
      <c r="C207" s="207">
        <v>7223313.6399999997</v>
      </c>
      <c r="D207" s="207">
        <v>8560779.9000000004</v>
      </c>
      <c r="E207" s="207">
        <v>8560779.9000000004</v>
      </c>
      <c r="F207" s="207">
        <v>4566963.49</v>
      </c>
      <c r="G207" s="207">
        <v>1768446.59</v>
      </c>
      <c r="H207" s="10">
        <f t="shared" si="2"/>
        <v>11359296.800000001</v>
      </c>
      <c r="I207" s="10"/>
      <c r="K207" s="11"/>
      <c r="L207" s="11"/>
      <c r="M207" s="11"/>
    </row>
    <row r="208" spans="1:13" x14ac:dyDescent="0.2">
      <c r="A208" s="130">
        <v>12471</v>
      </c>
      <c r="B208" s="23" t="s">
        <v>187</v>
      </c>
      <c r="C208" s="207">
        <v>15500</v>
      </c>
      <c r="D208" s="207">
        <v>15500</v>
      </c>
      <c r="E208" s="207">
        <v>15500</v>
      </c>
      <c r="F208" s="207">
        <v>0</v>
      </c>
      <c r="G208" s="207">
        <v>2500</v>
      </c>
      <c r="H208" s="10">
        <f t="shared" si="2"/>
        <v>13000</v>
      </c>
      <c r="I208" s="10"/>
      <c r="K208" s="11"/>
      <c r="L208" s="11"/>
      <c r="M208" s="11"/>
    </row>
    <row r="209" spans="1:13" x14ac:dyDescent="0.2">
      <c r="A209" s="130">
        <v>12472</v>
      </c>
      <c r="B209" s="23" t="s">
        <v>188</v>
      </c>
      <c r="C209" s="207">
        <v>0</v>
      </c>
      <c r="D209" s="207">
        <v>0</v>
      </c>
      <c r="E209" s="207">
        <v>0</v>
      </c>
      <c r="F209" s="207">
        <v>0</v>
      </c>
      <c r="G209" s="207">
        <v>0</v>
      </c>
      <c r="H209" s="10">
        <f t="shared" si="2"/>
        <v>0</v>
      </c>
      <c r="I209" s="10"/>
      <c r="K209" s="11"/>
      <c r="L209" s="11"/>
      <c r="M209" s="11"/>
    </row>
    <row r="210" spans="1:13" x14ac:dyDescent="0.2">
      <c r="A210" s="130">
        <v>12481</v>
      </c>
      <c r="B210" s="23" t="s">
        <v>189</v>
      </c>
      <c r="C210" s="207">
        <v>8800</v>
      </c>
      <c r="D210" s="207">
        <v>8800</v>
      </c>
      <c r="E210" s="207">
        <v>8800</v>
      </c>
      <c r="F210" s="207">
        <v>7550</v>
      </c>
      <c r="G210" s="207">
        <v>7550</v>
      </c>
      <c r="H210" s="10">
        <f t="shared" si="2"/>
        <v>8800</v>
      </c>
      <c r="I210" s="10"/>
      <c r="K210" s="11"/>
      <c r="L210" s="11"/>
      <c r="M210" s="11"/>
    </row>
    <row r="211" spans="1:13" x14ac:dyDescent="0.2">
      <c r="A211" s="130">
        <v>12482</v>
      </c>
      <c r="B211" s="23" t="s">
        <v>190</v>
      </c>
      <c r="C211" s="207">
        <v>15200</v>
      </c>
      <c r="D211" s="207">
        <v>650</v>
      </c>
      <c r="E211" s="207">
        <v>650</v>
      </c>
      <c r="F211" s="207">
        <v>37550</v>
      </c>
      <c r="G211" s="207">
        <v>18650</v>
      </c>
      <c r="H211" s="10">
        <f t="shared" ref="H211:H274" si="3">ROUND(E211+F211-G211,2)</f>
        <v>19550</v>
      </c>
      <c r="I211" s="10"/>
      <c r="K211" s="11"/>
      <c r="L211" s="11"/>
      <c r="M211" s="11"/>
    </row>
    <row r="212" spans="1:13" x14ac:dyDescent="0.2">
      <c r="A212" s="130">
        <v>12483</v>
      </c>
      <c r="B212" s="23" t="s">
        <v>191</v>
      </c>
      <c r="C212" s="207">
        <v>0</v>
      </c>
      <c r="D212" s="207">
        <v>0</v>
      </c>
      <c r="E212" s="207">
        <v>0</v>
      </c>
      <c r="F212" s="207">
        <v>0</v>
      </c>
      <c r="G212" s="207">
        <v>0</v>
      </c>
      <c r="H212" s="10">
        <f t="shared" si="3"/>
        <v>0</v>
      </c>
      <c r="I212" s="10"/>
      <c r="K212" s="11"/>
      <c r="L212" s="11"/>
      <c r="M212" s="11"/>
    </row>
    <row r="213" spans="1:13" x14ac:dyDescent="0.2">
      <c r="A213" s="130">
        <v>12484</v>
      </c>
      <c r="B213" s="23" t="s">
        <v>192</v>
      </c>
      <c r="C213" s="207">
        <v>4500</v>
      </c>
      <c r="D213" s="207">
        <v>4500</v>
      </c>
      <c r="E213" s="207">
        <v>4500</v>
      </c>
      <c r="F213" s="207">
        <v>2000</v>
      </c>
      <c r="G213" s="207">
        <v>4500</v>
      </c>
      <c r="H213" s="10">
        <f t="shared" si="3"/>
        <v>2000</v>
      </c>
      <c r="I213" s="10"/>
      <c r="K213" s="11"/>
      <c r="L213" s="11"/>
      <c r="M213" s="11"/>
    </row>
    <row r="214" spans="1:13" x14ac:dyDescent="0.2">
      <c r="A214" s="130">
        <v>12485</v>
      </c>
      <c r="B214" s="23" t="s">
        <v>193</v>
      </c>
      <c r="C214" s="207">
        <v>0</v>
      </c>
      <c r="D214" s="207">
        <v>0</v>
      </c>
      <c r="E214" s="207">
        <v>0</v>
      </c>
      <c r="F214" s="207">
        <v>0</v>
      </c>
      <c r="G214" s="207">
        <v>0</v>
      </c>
      <c r="H214" s="10">
        <f t="shared" si="3"/>
        <v>0</v>
      </c>
      <c r="I214" s="10"/>
      <c r="K214" s="11"/>
      <c r="L214" s="11"/>
      <c r="M214" s="11"/>
    </row>
    <row r="215" spans="1:13" x14ac:dyDescent="0.2">
      <c r="A215" s="130">
        <v>12486</v>
      </c>
      <c r="B215" s="23" t="s">
        <v>194</v>
      </c>
      <c r="C215" s="207">
        <v>0</v>
      </c>
      <c r="D215" s="207">
        <v>0</v>
      </c>
      <c r="E215" s="207">
        <v>0</v>
      </c>
      <c r="F215" s="207">
        <v>0</v>
      </c>
      <c r="G215" s="207">
        <v>0</v>
      </c>
      <c r="H215" s="10">
        <f t="shared" si="3"/>
        <v>0</v>
      </c>
      <c r="I215" s="10"/>
      <c r="K215" s="11"/>
      <c r="L215" s="11"/>
      <c r="M215" s="11"/>
    </row>
    <row r="216" spans="1:13" x14ac:dyDescent="0.2">
      <c r="A216" s="130">
        <v>12487</v>
      </c>
      <c r="B216" s="23" t="s">
        <v>195</v>
      </c>
      <c r="C216" s="207">
        <v>0</v>
      </c>
      <c r="D216" s="207">
        <v>3498.56</v>
      </c>
      <c r="E216" s="207">
        <v>3498.56</v>
      </c>
      <c r="F216" s="207">
        <v>0</v>
      </c>
      <c r="G216" s="207">
        <v>3498.56</v>
      </c>
      <c r="H216" s="10">
        <f t="shared" si="3"/>
        <v>0</v>
      </c>
      <c r="I216" s="10"/>
      <c r="K216" s="11"/>
      <c r="L216" s="11"/>
      <c r="M216" s="11"/>
    </row>
    <row r="217" spans="1:13" x14ac:dyDescent="0.2">
      <c r="A217" s="130">
        <v>12488</v>
      </c>
      <c r="B217" s="23" t="s">
        <v>196</v>
      </c>
      <c r="C217" s="207">
        <v>0</v>
      </c>
      <c r="D217" s="207">
        <v>0</v>
      </c>
      <c r="E217" s="207">
        <v>0</v>
      </c>
      <c r="F217" s="207">
        <v>0</v>
      </c>
      <c r="G217" s="207">
        <v>0</v>
      </c>
      <c r="H217" s="10">
        <f t="shared" si="3"/>
        <v>0</v>
      </c>
      <c r="I217" s="10"/>
      <c r="K217" s="11"/>
      <c r="L217" s="11"/>
      <c r="M217" s="11"/>
    </row>
    <row r="218" spans="1:13" x14ac:dyDescent="0.2">
      <c r="A218" s="130">
        <v>12489</v>
      </c>
      <c r="B218" s="23" t="s">
        <v>197</v>
      </c>
      <c r="C218" s="207">
        <v>0</v>
      </c>
      <c r="D218" s="207">
        <v>0</v>
      </c>
      <c r="E218" s="207">
        <v>0</v>
      </c>
      <c r="F218" s="207">
        <v>0</v>
      </c>
      <c r="G218" s="207">
        <v>0</v>
      </c>
      <c r="H218" s="10">
        <f t="shared" si="3"/>
        <v>0</v>
      </c>
      <c r="I218" s="10"/>
      <c r="K218" s="11"/>
      <c r="L218" s="11"/>
      <c r="M218" s="11"/>
    </row>
    <row r="219" spans="1:13" x14ac:dyDescent="0.2">
      <c r="A219" s="130">
        <v>12511</v>
      </c>
      <c r="B219" s="23" t="s">
        <v>198</v>
      </c>
      <c r="C219" s="207">
        <v>8911994.6300000008</v>
      </c>
      <c r="D219" s="207">
        <v>13010347.189999999</v>
      </c>
      <c r="E219" s="207">
        <v>13010347.189999999</v>
      </c>
      <c r="F219" s="207">
        <v>0</v>
      </c>
      <c r="G219" s="207">
        <v>13010347.189999999</v>
      </c>
      <c r="H219" s="10">
        <f t="shared" si="3"/>
        <v>0</v>
      </c>
      <c r="I219" s="10"/>
      <c r="K219" s="11"/>
      <c r="L219" s="11"/>
      <c r="M219" s="11"/>
    </row>
    <row r="220" spans="1:13" x14ac:dyDescent="0.2">
      <c r="A220" s="130">
        <v>12521</v>
      </c>
      <c r="B220" s="23" t="s">
        <v>199</v>
      </c>
      <c r="C220" s="207">
        <v>0</v>
      </c>
      <c r="D220" s="207">
        <v>0</v>
      </c>
      <c r="E220" s="207">
        <v>0</v>
      </c>
      <c r="F220" s="207">
        <v>0</v>
      </c>
      <c r="G220" s="207">
        <v>0</v>
      </c>
      <c r="H220" s="10">
        <f t="shared" si="3"/>
        <v>0</v>
      </c>
      <c r="I220" s="10"/>
      <c r="K220" s="11"/>
      <c r="L220" s="11"/>
      <c r="M220" s="11"/>
    </row>
    <row r="221" spans="1:13" x14ac:dyDescent="0.2">
      <c r="A221" s="130">
        <v>12522</v>
      </c>
      <c r="B221" s="23" t="s">
        <v>200</v>
      </c>
      <c r="C221" s="207">
        <v>0</v>
      </c>
      <c r="D221" s="207">
        <v>0</v>
      </c>
      <c r="E221" s="207">
        <v>0</v>
      </c>
      <c r="F221" s="207">
        <v>0</v>
      </c>
      <c r="G221" s="207">
        <v>0</v>
      </c>
      <c r="H221" s="10">
        <f t="shared" si="3"/>
        <v>0</v>
      </c>
      <c r="I221" s="10"/>
      <c r="K221" s="11"/>
      <c r="L221" s="11"/>
      <c r="M221" s="11"/>
    </row>
    <row r="222" spans="1:13" x14ac:dyDescent="0.2">
      <c r="A222" s="130">
        <v>12523</v>
      </c>
      <c r="B222" s="23" t="s">
        <v>201</v>
      </c>
      <c r="C222" s="207">
        <v>0</v>
      </c>
      <c r="D222" s="207">
        <v>0</v>
      </c>
      <c r="E222" s="207">
        <v>0</v>
      </c>
      <c r="F222" s="207">
        <v>0</v>
      </c>
      <c r="G222" s="207">
        <v>0</v>
      </c>
      <c r="H222" s="10">
        <f t="shared" si="3"/>
        <v>0</v>
      </c>
      <c r="I222" s="10"/>
      <c r="K222" s="11"/>
      <c r="L222" s="11"/>
      <c r="M222" s="11"/>
    </row>
    <row r="223" spans="1:13" x14ac:dyDescent="0.2">
      <c r="A223" s="130">
        <v>12531</v>
      </c>
      <c r="B223" s="23" t="s">
        <v>202</v>
      </c>
      <c r="C223" s="207">
        <v>0</v>
      </c>
      <c r="D223" s="207">
        <v>0</v>
      </c>
      <c r="E223" s="207">
        <v>0</v>
      </c>
      <c r="F223" s="207">
        <v>0</v>
      </c>
      <c r="G223" s="207">
        <v>0</v>
      </c>
      <c r="H223" s="10">
        <f t="shared" si="3"/>
        <v>0</v>
      </c>
      <c r="I223" s="10"/>
      <c r="K223" s="11"/>
      <c r="L223" s="11"/>
      <c r="M223" s="11"/>
    </row>
    <row r="224" spans="1:13" x14ac:dyDescent="0.2">
      <c r="A224" s="130">
        <v>12532</v>
      </c>
      <c r="B224" s="23" t="s">
        <v>203</v>
      </c>
      <c r="C224" s="207">
        <v>0</v>
      </c>
      <c r="D224" s="207">
        <v>0</v>
      </c>
      <c r="E224" s="207">
        <v>0</v>
      </c>
      <c r="F224" s="207">
        <v>0</v>
      </c>
      <c r="G224" s="207">
        <v>0</v>
      </c>
      <c r="H224" s="10">
        <f t="shared" si="3"/>
        <v>0</v>
      </c>
      <c r="I224" s="10"/>
      <c r="K224" s="11"/>
      <c r="L224" s="11"/>
      <c r="M224" s="11"/>
    </row>
    <row r="225" spans="1:13" x14ac:dyDescent="0.2">
      <c r="A225" s="130">
        <v>12541</v>
      </c>
      <c r="B225" s="23" t="s">
        <v>204</v>
      </c>
      <c r="C225" s="207">
        <v>0</v>
      </c>
      <c r="D225" s="207">
        <v>4976430.16</v>
      </c>
      <c r="E225" s="207">
        <v>4976430.16</v>
      </c>
      <c r="F225" s="207">
        <v>13937423.189999999</v>
      </c>
      <c r="G225" s="207">
        <v>13456950.220000001</v>
      </c>
      <c r="H225" s="10">
        <f t="shared" si="3"/>
        <v>5456903.1299999999</v>
      </c>
      <c r="I225" s="10"/>
      <c r="K225" s="11"/>
      <c r="L225" s="11"/>
      <c r="M225" s="11"/>
    </row>
    <row r="226" spans="1:13" x14ac:dyDescent="0.2">
      <c r="A226" s="130">
        <v>12542</v>
      </c>
      <c r="B226" s="23" t="s">
        <v>205</v>
      </c>
      <c r="C226" s="207">
        <v>0</v>
      </c>
      <c r="D226" s="207">
        <v>0</v>
      </c>
      <c r="E226" s="207">
        <v>0</v>
      </c>
      <c r="F226" s="207">
        <v>0</v>
      </c>
      <c r="G226" s="207">
        <v>0</v>
      </c>
      <c r="H226" s="10">
        <f t="shared" si="3"/>
        <v>0</v>
      </c>
      <c r="I226" s="10"/>
      <c r="K226" s="11"/>
      <c r="L226" s="11"/>
      <c r="M226" s="11"/>
    </row>
    <row r="227" spans="1:13" x14ac:dyDescent="0.2">
      <c r="A227" s="130">
        <v>12591</v>
      </c>
      <c r="B227" s="23" t="s">
        <v>206</v>
      </c>
      <c r="C227" s="207">
        <v>0</v>
      </c>
      <c r="D227" s="207">
        <v>0</v>
      </c>
      <c r="E227" s="207">
        <v>0</v>
      </c>
      <c r="F227" s="207">
        <v>0</v>
      </c>
      <c r="G227" s="207">
        <v>0</v>
      </c>
      <c r="H227" s="10">
        <f t="shared" si="3"/>
        <v>0</v>
      </c>
      <c r="I227" s="10"/>
      <c r="K227" s="11"/>
      <c r="L227" s="11"/>
      <c r="M227" s="11"/>
    </row>
    <row r="228" spans="1:13" x14ac:dyDescent="0.2">
      <c r="A228" s="130">
        <v>12611</v>
      </c>
      <c r="B228" s="23" t="s">
        <v>207</v>
      </c>
      <c r="C228" s="207">
        <v>-5027715.9400000004</v>
      </c>
      <c r="D228" s="207">
        <v>-12606919.060000001</v>
      </c>
      <c r="E228" s="207">
        <v>-12606919.060000001</v>
      </c>
      <c r="F228" s="207">
        <v>0</v>
      </c>
      <c r="G228" s="207">
        <v>7942104.2400000002</v>
      </c>
      <c r="H228" s="10">
        <f t="shared" si="3"/>
        <v>-20549023.300000001</v>
      </c>
      <c r="I228" s="10"/>
      <c r="K228" s="11"/>
      <c r="L228" s="11"/>
      <c r="M228" s="11"/>
    </row>
    <row r="229" spans="1:13" x14ac:dyDescent="0.2">
      <c r="A229" s="130">
        <v>12612</v>
      </c>
      <c r="B229" s="23" t="s">
        <v>208</v>
      </c>
      <c r="C229" s="207">
        <v>0</v>
      </c>
      <c r="D229" s="207">
        <v>0</v>
      </c>
      <c r="E229" s="207">
        <v>0</v>
      </c>
      <c r="F229" s="207">
        <v>0</v>
      </c>
      <c r="G229" s="207">
        <v>0</v>
      </c>
      <c r="H229" s="10">
        <f t="shared" si="3"/>
        <v>0</v>
      </c>
      <c r="I229" s="10"/>
      <c r="K229" s="11"/>
      <c r="L229" s="11"/>
      <c r="M229" s="11"/>
    </row>
    <row r="230" spans="1:13" x14ac:dyDescent="0.2">
      <c r="A230" s="130">
        <v>12619</v>
      </c>
      <c r="B230" s="23" t="s">
        <v>209</v>
      </c>
      <c r="C230" s="207">
        <v>0</v>
      </c>
      <c r="D230" s="207">
        <v>0</v>
      </c>
      <c r="E230" s="207">
        <v>0</v>
      </c>
      <c r="F230" s="207">
        <v>0</v>
      </c>
      <c r="G230" s="207">
        <v>0</v>
      </c>
      <c r="H230" s="10">
        <f t="shared" si="3"/>
        <v>0</v>
      </c>
      <c r="I230" s="10"/>
      <c r="K230" s="11"/>
      <c r="L230" s="11"/>
      <c r="M230" s="11"/>
    </row>
    <row r="231" spans="1:13" x14ac:dyDescent="0.2">
      <c r="A231" s="130">
        <v>12621</v>
      </c>
      <c r="B231" s="23" t="s">
        <v>210</v>
      </c>
      <c r="C231" s="207">
        <v>0</v>
      </c>
      <c r="D231" s="207">
        <v>0</v>
      </c>
      <c r="E231" s="207">
        <v>0</v>
      </c>
      <c r="F231" s="207">
        <v>0</v>
      </c>
      <c r="G231" s="207">
        <v>0</v>
      </c>
      <c r="H231" s="10">
        <f t="shared" si="3"/>
        <v>0</v>
      </c>
      <c r="I231" s="10"/>
      <c r="K231" s="11"/>
      <c r="L231" s="11"/>
      <c r="M231" s="11"/>
    </row>
    <row r="232" spans="1:13" x14ac:dyDescent="0.2">
      <c r="A232" s="130">
        <v>12622</v>
      </c>
      <c r="B232" s="23" t="s">
        <v>211</v>
      </c>
      <c r="C232" s="207">
        <v>0</v>
      </c>
      <c r="D232" s="207">
        <v>0</v>
      </c>
      <c r="E232" s="207">
        <v>0</v>
      </c>
      <c r="F232" s="207">
        <v>0</v>
      </c>
      <c r="G232" s="207">
        <v>0</v>
      </c>
      <c r="H232" s="10">
        <f t="shared" si="3"/>
        <v>0</v>
      </c>
      <c r="I232" s="10"/>
      <c r="K232" s="11"/>
      <c r="L232" s="11"/>
      <c r="M232" s="11"/>
    </row>
    <row r="233" spans="1:13" x14ac:dyDescent="0.2">
      <c r="A233" s="130">
        <v>12623</v>
      </c>
      <c r="B233" s="23" t="s">
        <v>212</v>
      </c>
      <c r="C233" s="207">
        <v>0</v>
      </c>
      <c r="D233" s="207">
        <v>0</v>
      </c>
      <c r="E233" s="207">
        <v>0</v>
      </c>
      <c r="F233" s="207">
        <v>0</v>
      </c>
      <c r="G233" s="207">
        <v>0</v>
      </c>
      <c r="H233" s="10">
        <f t="shared" si="3"/>
        <v>0</v>
      </c>
      <c r="I233" s="10"/>
      <c r="K233" s="11"/>
      <c r="L233" s="11"/>
      <c r="M233" s="11"/>
    </row>
    <row r="234" spans="1:13" x14ac:dyDescent="0.2">
      <c r="A234" s="130">
        <v>12624</v>
      </c>
      <c r="B234" s="23" t="s">
        <v>213</v>
      </c>
      <c r="C234" s="207">
        <v>0</v>
      </c>
      <c r="D234" s="207">
        <v>0</v>
      </c>
      <c r="E234" s="207">
        <v>0</v>
      </c>
      <c r="F234" s="207">
        <v>0</v>
      </c>
      <c r="G234" s="207">
        <v>0</v>
      </c>
      <c r="H234" s="10">
        <f t="shared" si="3"/>
        <v>0</v>
      </c>
      <c r="I234" s="10"/>
      <c r="K234" s="11"/>
      <c r="L234" s="11"/>
      <c r="M234" s="11"/>
    </row>
    <row r="235" spans="1:13" x14ac:dyDescent="0.2">
      <c r="A235" s="130">
        <v>12625</v>
      </c>
      <c r="B235" s="23" t="s">
        <v>214</v>
      </c>
      <c r="C235" s="207">
        <v>0</v>
      </c>
      <c r="D235" s="207">
        <v>0</v>
      </c>
      <c r="E235" s="207">
        <v>0</v>
      </c>
      <c r="F235" s="207">
        <v>0</v>
      </c>
      <c r="G235" s="207">
        <v>0</v>
      </c>
      <c r="H235" s="10">
        <f t="shared" si="3"/>
        <v>0</v>
      </c>
      <c r="I235" s="10"/>
      <c r="K235" s="11"/>
      <c r="L235" s="11"/>
      <c r="M235" s="11"/>
    </row>
    <row r="236" spans="1:13" x14ac:dyDescent="0.2">
      <c r="A236" s="130">
        <v>12626</v>
      </c>
      <c r="B236" s="23" t="s">
        <v>215</v>
      </c>
      <c r="C236" s="207">
        <v>0</v>
      </c>
      <c r="D236" s="207">
        <v>0</v>
      </c>
      <c r="E236" s="207">
        <v>0</v>
      </c>
      <c r="F236" s="207">
        <v>0</v>
      </c>
      <c r="G236" s="207">
        <v>0</v>
      </c>
      <c r="H236" s="10">
        <f t="shared" si="3"/>
        <v>0</v>
      </c>
      <c r="I236" s="10"/>
      <c r="K236" s="11"/>
      <c r="L236" s="11"/>
      <c r="M236" s="11"/>
    </row>
    <row r="237" spans="1:13" x14ac:dyDescent="0.2">
      <c r="A237" s="130">
        <v>12627</v>
      </c>
      <c r="B237" s="23" t="s">
        <v>216</v>
      </c>
      <c r="C237" s="207">
        <v>0</v>
      </c>
      <c r="D237" s="207">
        <v>0</v>
      </c>
      <c r="E237" s="207">
        <v>0</v>
      </c>
      <c r="F237" s="207">
        <v>0</v>
      </c>
      <c r="G237" s="207">
        <v>0</v>
      </c>
      <c r="H237" s="10">
        <f t="shared" si="3"/>
        <v>0</v>
      </c>
      <c r="I237" s="10"/>
      <c r="K237" s="11"/>
      <c r="L237" s="11"/>
      <c r="M237" s="11"/>
    </row>
    <row r="238" spans="1:13" x14ac:dyDescent="0.2">
      <c r="A238" s="130">
        <v>12628</v>
      </c>
      <c r="B238" s="23" t="s">
        <v>217</v>
      </c>
      <c r="C238" s="207">
        <v>0</v>
      </c>
      <c r="D238" s="207">
        <v>0</v>
      </c>
      <c r="E238" s="207">
        <v>0</v>
      </c>
      <c r="F238" s="207">
        <v>0</v>
      </c>
      <c r="G238" s="207">
        <v>0</v>
      </c>
      <c r="H238" s="10">
        <f t="shared" si="3"/>
        <v>0</v>
      </c>
      <c r="I238" s="10"/>
      <c r="K238" s="11"/>
      <c r="L238" s="11"/>
      <c r="M238" s="11"/>
    </row>
    <row r="239" spans="1:13" x14ac:dyDescent="0.2">
      <c r="A239" s="130">
        <v>12629</v>
      </c>
      <c r="B239" s="23" t="s">
        <v>218</v>
      </c>
      <c r="C239" s="207">
        <v>0</v>
      </c>
      <c r="D239" s="207">
        <v>0</v>
      </c>
      <c r="E239" s="207">
        <v>0</v>
      </c>
      <c r="F239" s="207">
        <v>0</v>
      </c>
      <c r="G239" s="207">
        <v>0</v>
      </c>
      <c r="H239" s="10">
        <f t="shared" si="3"/>
        <v>0</v>
      </c>
      <c r="I239" s="10"/>
      <c r="K239" s="11"/>
      <c r="L239" s="11"/>
      <c r="M239" s="11"/>
    </row>
    <row r="240" spans="1:13" x14ac:dyDescent="0.2">
      <c r="A240" s="130">
        <v>12631</v>
      </c>
      <c r="B240" s="23" t="s">
        <v>219</v>
      </c>
      <c r="C240" s="207">
        <v>-126779962.28</v>
      </c>
      <c r="D240" s="207">
        <v>-169910994.59</v>
      </c>
      <c r="E240" s="207">
        <v>-169910994.59</v>
      </c>
      <c r="F240" s="207">
        <v>31076302.23</v>
      </c>
      <c r="G240" s="207">
        <v>53030774.399999999</v>
      </c>
      <c r="H240" s="10">
        <f>ROUND(E240+F240-G240,2)</f>
        <v>-191865466.75999999</v>
      </c>
      <c r="I240" s="10"/>
      <c r="K240" s="11"/>
      <c r="L240" s="11"/>
      <c r="M240" s="11"/>
    </row>
    <row r="241" spans="1:13" x14ac:dyDescent="0.2">
      <c r="A241" s="130">
        <v>12632</v>
      </c>
      <c r="B241" s="23" t="s">
        <v>220</v>
      </c>
      <c r="C241" s="207">
        <v>0</v>
      </c>
      <c r="D241" s="207">
        <v>0</v>
      </c>
      <c r="E241" s="207">
        <v>0</v>
      </c>
      <c r="F241" s="207">
        <v>0</v>
      </c>
      <c r="G241" s="207">
        <v>0</v>
      </c>
      <c r="H241" s="10">
        <f t="shared" si="3"/>
        <v>0</v>
      </c>
      <c r="I241" s="10"/>
      <c r="K241" s="11"/>
      <c r="L241" s="11"/>
      <c r="M241" s="11"/>
    </row>
    <row r="242" spans="1:13" x14ac:dyDescent="0.2">
      <c r="A242" s="130">
        <v>12633</v>
      </c>
      <c r="B242" s="23" t="s">
        <v>221</v>
      </c>
      <c r="C242" s="207">
        <v>0</v>
      </c>
      <c r="D242" s="207">
        <v>0</v>
      </c>
      <c r="E242" s="207">
        <v>0</v>
      </c>
      <c r="F242" s="207">
        <v>0</v>
      </c>
      <c r="G242" s="207">
        <v>0</v>
      </c>
      <c r="H242" s="10">
        <f t="shared" si="3"/>
        <v>0</v>
      </c>
      <c r="I242" s="10"/>
      <c r="K242" s="11"/>
      <c r="L242" s="11"/>
      <c r="M242" s="11"/>
    </row>
    <row r="243" spans="1:13" x14ac:dyDescent="0.2">
      <c r="A243" s="130">
        <v>12634</v>
      </c>
      <c r="B243" s="23" t="s">
        <v>222</v>
      </c>
      <c r="C243" s="207">
        <v>0</v>
      </c>
      <c r="D243" s="207">
        <v>0</v>
      </c>
      <c r="E243" s="207">
        <v>0</v>
      </c>
      <c r="F243" s="207">
        <v>0</v>
      </c>
      <c r="G243" s="207">
        <v>0</v>
      </c>
      <c r="H243" s="10">
        <f t="shared" si="3"/>
        <v>0</v>
      </c>
      <c r="I243" s="10"/>
      <c r="K243" s="11"/>
      <c r="L243" s="11"/>
      <c r="M243" s="11"/>
    </row>
    <row r="244" spans="1:13" x14ac:dyDescent="0.2">
      <c r="A244" s="130">
        <v>12635</v>
      </c>
      <c r="B244" s="23" t="s">
        <v>223</v>
      </c>
      <c r="C244" s="207">
        <v>0</v>
      </c>
      <c r="D244" s="207">
        <v>0</v>
      </c>
      <c r="E244" s="207">
        <v>0</v>
      </c>
      <c r="F244" s="207">
        <v>0</v>
      </c>
      <c r="G244" s="207">
        <v>0</v>
      </c>
      <c r="H244" s="10">
        <f t="shared" si="3"/>
        <v>0</v>
      </c>
      <c r="I244" s="10"/>
      <c r="K244" s="11"/>
      <c r="L244" s="11"/>
      <c r="M244" s="11"/>
    </row>
    <row r="245" spans="1:13" x14ac:dyDescent="0.2">
      <c r="A245" s="130">
        <v>12636</v>
      </c>
      <c r="B245" s="23" t="s">
        <v>224</v>
      </c>
      <c r="C245" s="207">
        <v>0</v>
      </c>
      <c r="D245" s="207">
        <v>0</v>
      </c>
      <c r="E245" s="207">
        <v>0</v>
      </c>
      <c r="F245" s="207">
        <v>0</v>
      </c>
      <c r="G245" s="207">
        <v>0</v>
      </c>
      <c r="H245" s="10">
        <f t="shared" si="3"/>
        <v>0</v>
      </c>
      <c r="I245" s="10"/>
      <c r="K245" s="11"/>
      <c r="L245" s="11"/>
      <c r="M245" s="11"/>
    </row>
    <row r="246" spans="1:13" x14ac:dyDescent="0.2">
      <c r="A246" s="130">
        <v>12641</v>
      </c>
      <c r="B246" s="23" t="s">
        <v>225</v>
      </c>
      <c r="C246" s="207">
        <v>-4378.8</v>
      </c>
      <c r="D246" s="207">
        <v>-5978.88</v>
      </c>
      <c r="E246" s="207">
        <v>-5978.88</v>
      </c>
      <c r="F246" s="207">
        <v>6517.17</v>
      </c>
      <c r="G246" s="207">
        <v>6538.3</v>
      </c>
      <c r="H246" s="10">
        <f t="shared" si="3"/>
        <v>-6000.01</v>
      </c>
      <c r="I246" s="10"/>
      <c r="K246" s="11"/>
      <c r="L246" s="11"/>
      <c r="M246" s="11"/>
    </row>
    <row r="247" spans="1:13" x14ac:dyDescent="0.2">
      <c r="A247" s="130">
        <v>12642</v>
      </c>
      <c r="B247" s="23" t="s">
        <v>226</v>
      </c>
      <c r="C247" s="207">
        <v>-7950.14</v>
      </c>
      <c r="D247" s="207">
        <v>-8291.86</v>
      </c>
      <c r="E247" s="207">
        <v>-8291.86</v>
      </c>
      <c r="F247" s="207">
        <v>6321.26</v>
      </c>
      <c r="G247" s="207">
        <v>10375.18</v>
      </c>
      <c r="H247" s="10">
        <f t="shared" si="3"/>
        <v>-12345.78</v>
      </c>
      <c r="I247" s="10"/>
      <c r="K247" s="11"/>
      <c r="L247" s="11"/>
      <c r="M247" s="11"/>
    </row>
    <row r="248" spans="1:13" x14ac:dyDescent="0.2">
      <c r="A248" s="130">
        <v>12643</v>
      </c>
      <c r="B248" s="23" t="s">
        <v>227</v>
      </c>
      <c r="C248" s="207">
        <v>0</v>
      </c>
      <c r="D248" s="207">
        <v>0</v>
      </c>
      <c r="E248" s="207">
        <v>0</v>
      </c>
      <c r="F248" s="207">
        <v>0</v>
      </c>
      <c r="G248" s="207">
        <v>0</v>
      </c>
      <c r="H248" s="10">
        <f t="shared" si="3"/>
        <v>0</v>
      </c>
      <c r="I248" s="10"/>
      <c r="K248" s="11"/>
      <c r="L248" s="11"/>
      <c r="M248" s="11"/>
    </row>
    <row r="249" spans="1:13" x14ac:dyDescent="0.2">
      <c r="A249" s="130">
        <v>12644</v>
      </c>
      <c r="B249" s="23" t="s">
        <v>228</v>
      </c>
      <c r="C249" s="207">
        <v>-8187.53</v>
      </c>
      <c r="D249" s="207">
        <v>-1226.54</v>
      </c>
      <c r="E249" s="207">
        <v>-1226.54</v>
      </c>
      <c r="F249" s="207">
        <v>1608.72</v>
      </c>
      <c r="G249" s="207">
        <v>382.18</v>
      </c>
      <c r="H249" s="10">
        <f t="shared" si="3"/>
        <v>0</v>
      </c>
      <c r="I249" s="10"/>
      <c r="K249" s="11"/>
      <c r="L249" s="11"/>
      <c r="M249" s="11"/>
    </row>
    <row r="250" spans="1:13" x14ac:dyDescent="0.2">
      <c r="A250" s="130">
        <v>12645</v>
      </c>
      <c r="B250" s="23" t="s">
        <v>229</v>
      </c>
      <c r="C250" s="207">
        <v>0</v>
      </c>
      <c r="D250" s="207">
        <v>0</v>
      </c>
      <c r="E250" s="207">
        <v>0</v>
      </c>
      <c r="F250" s="207">
        <v>0</v>
      </c>
      <c r="G250" s="207">
        <v>0</v>
      </c>
      <c r="H250" s="10">
        <f t="shared" si="3"/>
        <v>0</v>
      </c>
      <c r="I250" s="10"/>
      <c r="K250" s="11"/>
      <c r="L250" s="11"/>
      <c r="M250" s="11"/>
    </row>
    <row r="251" spans="1:13" x14ac:dyDescent="0.2">
      <c r="A251" s="130">
        <v>12646</v>
      </c>
      <c r="B251" s="23" t="s">
        <v>230</v>
      </c>
      <c r="C251" s="207">
        <v>0</v>
      </c>
      <c r="D251" s="207">
        <v>0</v>
      </c>
      <c r="E251" s="207">
        <v>0</v>
      </c>
      <c r="F251" s="207">
        <v>0</v>
      </c>
      <c r="G251" s="207">
        <v>0</v>
      </c>
      <c r="H251" s="10">
        <f t="shared" si="3"/>
        <v>0</v>
      </c>
      <c r="I251" s="10"/>
      <c r="K251" s="11"/>
      <c r="L251" s="11"/>
      <c r="M251" s="11"/>
    </row>
    <row r="252" spans="1:13" x14ac:dyDescent="0.2">
      <c r="A252" s="130">
        <v>12647</v>
      </c>
      <c r="B252" s="23" t="s">
        <v>231</v>
      </c>
      <c r="C252" s="207">
        <v>0</v>
      </c>
      <c r="D252" s="207">
        <v>0</v>
      </c>
      <c r="E252" s="207">
        <v>0</v>
      </c>
      <c r="F252" s="207">
        <v>0</v>
      </c>
      <c r="G252" s="207">
        <v>0</v>
      </c>
      <c r="H252" s="10">
        <f t="shared" si="3"/>
        <v>0</v>
      </c>
      <c r="I252" s="10"/>
      <c r="K252" s="11"/>
      <c r="L252" s="11"/>
      <c r="M252" s="11"/>
    </row>
    <row r="253" spans="1:13" x14ac:dyDescent="0.2">
      <c r="A253" s="130">
        <v>12648</v>
      </c>
      <c r="B253" s="23" t="s">
        <v>232</v>
      </c>
      <c r="C253" s="207">
        <v>0</v>
      </c>
      <c r="D253" s="207">
        <v>0</v>
      </c>
      <c r="E253" s="207">
        <v>0</v>
      </c>
      <c r="F253" s="207">
        <v>0</v>
      </c>
      <c r="G253" s="207">
        <v>0</v>
      </c>
      <c r="H253" s="10">
        <f t="shared" si="3"/>
        <v>0</v>
      </c>
      <c r="I253" s="10"/>
      <c r="K253" s="11"/>
      <c r="L253" s="11"/>
      <c r="M253" s="11"/>
    </row>
    <row r="254" spans="1:13" x14ac:dyDescent="0.2">
      <c r="A254" s="130">
        <v>12649</v>
      </c>
      <c r="B254" s="23" t="s">
        <v>233</v>
      </c>
      <c r="C254" s="207">
        <v>0</v>
      </c>
      <c r="D254" s="207">
        <v>0</v>
      </c>
      <c r="E254" s="207">
        <v>0</v>
      </c>
      <c r="F254" s="207">
        <v>0</v>
      </c>
      <c r="G254" s="207">
        <v>0</v>
      </c>
      <c r="H254" s="10">
        <f t="shared" si="3"/>
        <v>0</v>
      </c>
      <c r="I254" s="10"/>
      <c r="K254" s="11"/>
      <c r="L254" s="11"/>
      <c r="M254" s="11"/>
    </row>
    <row r="255" spans="1:13" x14ac:dyDescent="0.2">
      <c r="A255" s="130">
        <v>12651</v>
      </c>
      <c r="B255" s="23" t="s">
        <v>234</v>
      </c>
      <c r="C255" s="207">
        <v>0</v>
      </c>
      <c r="D255" s="207">
        <v>0</v>
      </c>
      <c r="E255" s="207">
        <v>0</v>
      </c>
      <c r="F255" s="207">
        <v>0</v>
      </c>
      <c r="G255" s="207">
        <v>0</v>
      </c>
      <c r="H255" s="10">
        <f t="shared" si="3"/>
        <v>0</v>
      </c>
      <c r="I255" s="10"/>
      <c r="K255" s="11"/>
      <c r="L255" s="11"/>
      <c r="M255" s="11"/>
    </row>
    <row r="256" spans="1:13" x14ac:dyDescent="0.2">
      <c r="A256" s="130">
        <v>12652</v>
      </c>
      <c r="B256" s="23" t="s">
        <v>235</v>
      </c>
      <c r="C256" s="207">
        <v>0</v>
      </c>
      <c r="D256" s="207">
        <v>0</v>
      </c>
      <c r="E256" s="207">
        <v>0</v>
      </c>
      <c r="F256" s="207">
        <v>0</v>
      </c>
      <c r="G256" s="207">
        <v>0</v>
      </c>
      <c r="H256" s="10">
        <f t="shared" si="3"/>
        <v>0</v>
      </c>
      <c r="I256" s="10"/>
      <c r="K256" s="11"/>
      <c r="L256" s="11"/>
      <c r="M256" s="11"/>
    </row>
    <row r="257" spans="1:13" x14ac:dyDescent="0.2">
      <c r="A257" s="130">
        <v>12653</v>
      </c>
      <c r="B257" s="23" t="s">
        <v>236</v>
      </c>
      <c r="C257" s="207">
        <v>0</v>
      </c>
      <c r="D257" s="207">
        <v>0</v>
      </c>
      <c r="E257" s="207">
        <v>0</v>
      </c>
      <c r="F257" s="207">
        <v>0</v>
      </c>
      <c r="G257" s="207">
        <v>0</v>
      </c>
      <c r="H257" s="10">
        <f t="shared" si="3"/>
        <v>0</v>
      </c>
      <c r="I257" s="10"/>
      <c r="K257" s="11"/>
      <c r="L257" s="11"/>
      <c r="M257" s="11"/>
    </row>
    <row r="258" spans="1:13" x14ac:dyDescent="0.2">
      <c r="A258" s="130">
        <v>12654</v>
      </c>
      <c r="B258" s="23" t="s">
        <v>237</v>
      </c>
      <c r="C258" s="207">
        <v>0</v>
      </c>
      <c r="D258" s="207">
        <v>0</v>
      </c>
      <c r="E258" s="207">
        <v>0</v>
      </c>
      <c r="F258" s="207">
        <v>750742.07</v>
      </c>
      <c r="G258" s="207">
        <v>3114645.76</v>
      </c>
      <c r="H258" s="10">
        <f t="shared" si="3"/>
        <v>-2363903.69</v>
      </c>
      <c r="I258" s="10"/>
      <c r="K258" s="11"/>
      <c r="L258" s="11"/>
      <c r="M258" s="11"/>
    </row>
    <row r="259" spans="1:13" x14ac:dyDescent="0.2">
      <c r="A259" s="130">
        <v>12659</v>
      </c>
      <c r="B259" s="23" t="s">
        <v>238</v>
      </c>
      <c r="C259" s="207">
        <v>0</v>
      </c>
      <c r="D259" s="207">
        <v>0</v>
      </c>
      <c r="E259" s="207">
        <v>0</v>
      </c>
      <c r="F259" s="207">
        <v>0</v>
      </c>
      <c r="G259" s="207">
        <v>0</v>
      </c>
      <c r="H259" s="10">
        <f t="shared" si="3"/>
        <v>0</v>
      </c>
      <c r="I259" s="10"/>
      <c r="K259" s="11"/>
      <c r="L259" s="11"/>
      <c r="M259" s="11"/>
    </row>
    <row r="260" spans="1:13" x14ac:dyDescent="0.2">
      <c r="A260" s="130">
        <v>12711</v>
      </c>
      <c r="B260" s="23" t="s">
        <v>239</v>
      </c>
      <c r="C260" s="207">
        <v>0</v>
      </c>
      <c r="D260" s="207">
        <v>0</v>
      </c>
      <c r="E260" s="207">
        <v>0</v>
      </c>
      <c r="F260" s="207">
        <v>0</v>
      </c>
      <c r="G260" s="207">
        <v>0</v>
      </c>
      <c r="H260" s="10">
        <f t="shared" si="3"/>
        <v>0</v>
      </c>
      <c r="I260" s="10"/>
      <c r="K260" s="11"/>
      <c r="L260" s="11"/>
      <c r="M260" s="11"/>
    </row>
    <row r="261" spans="1:13" x14ac:dyDescent="0.2">
      <c r="A261" s="130">
        <v>12721</v>
      </c>
      <c r="B261" s="23" t="s">
        <v>240</v>
      </c>
      <c r="C261" s="207">
        <v>0</v>
      </c>
      <c r="D261" s="207">
        <v>0</v>
      </c>
      <c r="E261" s="207">
        <v>0</v>
      </c>
      <c r="F261" s="207">
        <v>0</v>
      </c>
      <c r="G261" s="207">
        <v>0</v>
      </c>
      <c r="H261" s="10">
        <f t="shared" si="3"/>
        <v>0</v>
      </c>
      <c r="I261" s="10"/>
      <c r="K261" s="11"/>
      <c r="L261" s="11"/>
      <c r="M261" s="11"/>
    </row>
    <row r="262" spans="1:13" x14ac:dyDescent="0.2">
      <c r="A262" s="130">
        <v>12722</v>
      </c>
      <c r="B262" s="23" t="s">
        <v>241</v>
      </c>
      <c r="C262" s="207">
        <v>0</v>
      </c>
      <c r="D262" s="207">
        <v>0</v>
      </c>
      <c r="E262" s="207">
        <v>0</v>
      </c>
      <c r="F262" s="207">
        <v>0</v>
      </c>
      <c r="G262" s="207">
        <v>0</v>
      </c>
      <c r="H262" s="10">
        <f t="shared" si="3"/>
        <v>0</v>
      </c>
      <c r="I262" s="10"/>
      <c r="K262" s="11"/>
      <c r="L262" s="11"/>
      <c r="M262" s="11"/>
    </row>
    <row r="263" spans="1:13" x14ac:dyDescent="0.2">
      <c r="A263" s="130">
        <v>12731</v>
      </c>
      <c r="B263" s="23" t="s">
        <v>242</v>
      </c>
      <c r="C263" s="207">
        <v>0</v>
      </c>
      <c r="D263" s="207">
        <v>0</v>
      </c>
      <c r="E263" s="207">
        <v>0</v>
      </c>
      <c r="F263" s="207">
        <v>0</v>
      </c>
      <c r="G263" s="207">
        <v>0</v>
      </c>
      <c r="H263" s="10">
        <f t="shared" si="3"/>
        <v>0</v>
      </c>
      <c r="I263" s="10"/>
      <c r="K263" s="11"/>
      <c r="L263" s="11"/>
      <c r="M263" s="11"/>
    </row>
    <row r="264" spans="1:13" x14ac:dyDescent="0.2">
      <c r="A264" s="130">
        <v>12741</v>
      </c>
      <c r="B264" s="23" t="s">
        <v>243</v>
      </c>
      <c r="C264" s="207">
        <v>0</v>
      </c>
      <c r="D264" s="207">
        <v>0</v>
      </c>
      <c r="E264" s="207">
        <v>0</v>
      </c>
      <c r="F264" s="207">
        <v>0</v>
      </c>
      <c r="G264" s="207">
        <v>0</v>
      </c>
      <c r="H264" s="10">
        <f t="shared" si="3"/>
        <v>0</v>
      </c>
      <c r="I264" s="10"/>
      <c r="K264" s="11"/>
      <c r="L264" s="11"/>
      <c r="M264" s="11"/>
    </row>
    <row r="265" spans="1:13" x14ac:dyDescent="0.2">
      <c r="A265" s="130">
        <v>12742</v>
      </c>
      <c r="B265" s="23" t="s">
        <v>244</v>
      </c>
      <c r="C265" s="207">
        <v>0</v>
      </c>
      <c r="D265" s="207">
        <v>0</v>
      </c>
      <c r="E265" s="207">
        <v>0</v>
      </c>
      <c r="F265" s="207">
        <v>0</v>
      </c>
      <c r="G265" s="207">
        <v>0</v>
      </c>
      <c r="H265" s="10">
        <f t="shared" si="3"/>
        <v>0</v>
      </c>
      <c r="I265" s="10"/>
      <c r="K265" s="11"/>
      <c r="L265" s="11"/>
      <c r="M265" s="11"/>
    </row>
    <row r="266" spans="1:13" x14ac:dyDescent="0.2">
      <c r="A266" s="130">
        <v>12743</v>
      </c>
      <c r="B266" s="23" t="s">
        <v>245</v>
      </c>
      <c r="C266" s="207">
        <v>0</v>
      </c>
      <c r="D266" s="207">
        <v>0</v>
      </c>
      <c r="E266" s="207">
        <v>0</v>
      </c>
      <c r="F266" s="207">
        <v>0</v>
      </c>
      <c r="G266" s="207">
        <v>0</v>
      </c>
      <c r="H266" s="10">
        <f t="shared" si="3"/>
        <v>0</v>
      </c>
      <c r="I266" s="10"/>
      <c r="K266" s="11"/>
      <c r="L266" s="11"/>
      <c r="M266" s="11"/>
    </row>
    <row r="267" spans="1:13" x14ac:dyDescent="0.2">
      <c r="A267" s="130">
        <v>12744</v>
      </c>
      <c r="B267" s="23" t="s">
        <v>246</v>
      </c>
      <c r="C267" s="207">
        <v>0</v>
      </c>
      <c r="D267" s="207">
        <v>0</v>
      </c>
      <c r="E267" s="207">
        <v>0</v>
      </c>
      <c r="F267" s="207">
        <v>0</v>
      </c>
      <c r="G267" s="207">
        <v>0</v>
      </c>
      <c r="H267" s="10">
        <f t="shared" si="3"/>
        <v>0</v>
      </c>
      <c r="I267" s="10"/>
      <c r="K267" s="11"/>
      <c r="L267" s="11"/>
      <c r="M267" s="11"/>
    </row>
    <row r="268" spans="1:13" x14ac:dyDescent="0.2">
      <c r="A268" s="130">
        <v>12751</v>
      </c>
      <c r="B268" s="23" t="s">
        <v>247</v>
      </c>
      <c r="C268" s="207">
        <v>0</v>
      </c>
      <c r="D268" s="207">
        <v>0</v>
      </c>
      <c r="E268" s="207">
        <v>0</v>
      </c>
      <c r="F268" s="207">
        <v>0</v>
      </c>
      <c r="G268" s="207">
        <v>0</v>
      </c>
      <c r="H268" s="10">
        <f t="shared" si="3"/>
        <v>0</v>
      </c>
      <c r="I268" s="10"/>
      <c r="K268" s="11"/>
      <c r="L268" s="11"/>
      <c r="M268" s="11"/>
    </row>
    <row r="269" spans="1:13" x14ac:dyDescent="0.2">
      <c r="A269" s="130">
        <v>12791</v>
      </c>
      <c r="B269" s="23" t="s">
        <v>248</v>
      </c>
      <c r="C269" s="207">
        <v>1000000</v>
      </c>
      <c r="D269" s="207">
        <v>0</v>
      </c>
      <c r="E269" s="207">
        <v>0</v>
      </c>
      <c r="F269" s="207">
        <v>2000</v>
      </c>
      <c r="G269" s="207">
        <v>2000</v>
      </c>
      <c r="H269" s="10">
        <f t="shared" si="3"/>
        <v>0</v>
      </c>
      <c r="I269" s="10"/>
      <c r="K269" s="11"/>
      <c r="L269" s="11"/>
      <c r="M269" s="11"/>
    </row>
    <row r="270" spans="1:13" x14ac:dyDescent="0.2">
      <c r="A270" s="130">
        <v>12811</v>
      </c>
      <c r="B270" s="23" t="s">
        <v>249</v>
      </c>
      <c r="C270" s="207">
        <v>0</v>
      </c>
      <c r="D270" s="207">
        <v>0</v>
      </c>
      <c r="E270" s="207">
        <v>0</v>
      </c>
      <c r="F270" s="207">
        <v>0</v>
      </c>
      <c r="G270" s="207">
        <v>0</v>
      </c>
      <c r="H270" s="10">
        <f t="shared" si="3"/>
        <v>0</v>
      </c>
      <c r="I270" s="10"/>
      <c r="K270" s="11"/>
      <c r="L270" s="11"/>
      <c r="M270" s="11"/>
    </row>
    <row r="271" spans="1:13" x14ac:dyDescent="0.2">
      <c r="A271" s="130">
        <v>12812</v>
      </c>
      <c r="B271" s="23" t="s">
        <v>250</v>
      </c>
      <c r="C271" s="207">
        <v>0</v>
      </c>
      <c r="D271" s="207">
        <v>0</v>
      </c>
      <c r="E271" s="207">
        <v>0</v>
      </c>
      <c r="F271" s="207">
        <v>0</v>
      </c>
      <c r="G271" s="207">
        <v>0</v>
      </c>
      <c r="H271" s="10">
        <f t="shared" si="3"/>
        <v>0</v>
      </c>
      <c r="I271" s="10"/>
      <c r="K271" s="11"/>
      <c r="L271" s="11"/>
      <c r="M271" s="11"/>
    </row>
    <row r="272" spans="1:13" x14ac:dyDescent="0.2">
      <c r="A272" s="130">
        <v>12819</v>
      </c>
      <c r="B272" s="23" t="s">
        <v>251</v>
      </c>
      <c r="C272" s="207">
        <v>0</v>
      </c>
      <c r="D272" s="207">
        <v>0</v>
      </c>
      <c r="E272" s="207">
        <v>0</v>
      </c>
      <c r="F272" s="207">
        <v>0</v>
      </c>
      <c r="G272" s="207">
        <v>0</v>
      </c>
      <c r="H272" s="10">
        <f t="shared" si="3"/>
        <v>0</v>
      </c>
      <c r="I272" s="10"/>
      <c r="K272" s="11"/>
      <c r="L272" s="11"/>
      <c r="M272" s="11"/>
    </row>
    <row r="273" spans="1:13" x14ac:dyDescent="0.2">
      <c r="A273" s="130">
        <v>12821</v>
      </c>
      <c r="B273" s="23" t="s">
        <v>252</v>
      </c>
      <c r="C273" s="207">
        <v>0</v>
      </c>
      <c r="D273" s="207">
        <v>0</v>
      </c>
      <c r="E273" s="207">
        <v>0</v>
      </c>
      <c r="F273" s="207">
        <v>0</v>
      </c>
      <c r="G273" s="207">
        <v>0</v>
      </c>
      <c r="H273" s="10">
        <f t="shared" si="3"/>
        <v>0</v>
      </c>
      <c r="I273" s="10"/>
      <c r="K273" s="11"/>
      <c r="L273" s="11"/>
      <c r="M273" s="11"/>
    </row>
    <row r="274" spans="1:13" x14ac:dyDescent="0.2">
      <c r="A274" s="130">
        <v>12831</v>
      </c>
      <c r="B274" s="23" t="s">
        <v>253</v>
      </c>
      <c r="C274" s="207">
        <v>0</v>
      </c>
      <c r="D274" s="207">
        <v>0</v>
      </c>
      <c r="E274" s="207">
        <v>0</v>
      </c>
      <c r="F274" s="207">
        <v>0</v>
      </c>
      <c r="G274" s="207">
        <v>0</v>
      </c>
      <c r="H274" s="10">
        <f t="shared" si="3"/>
        <v>0</v>
      </c>
      <c r="I274" s="10"/>
      <c r="K274" s="11"/>
      <c r="L274" s="11"/>
      <c r="M274" s="11"/>
    </row>
    <row r="275" spans="1:13" x14ac:dyDescent="0.2">
      <c r="A275" s="130">
        <v>12832</v>
      </c>
      <c r="B275" s="23" t="s">
        <v>254</v>
      </c>
      <c r="C275" s="207">
        <v>0</v>
      </c>
      <c r="D275" s="207">
        <v>0</v>
      </c>
      <c r="E275" s="207">
        <v>0</v>
      </c>
      <c r="F275" s="207">
        <v>0</v>
      </c>
      <c r="G275" s="207">
        <v>0</v>
      </c>
      <c r="H275" s="10">
        <f t="shared" ref="H275:H338" si="4">ROUND(E275+F275-G275,2)</f>
        <v>0</v>
      </c>
      <c r="I275" s="10"/>
      <c r="K275" s="11"/>
      <c r="L275" s="11"/>
      <c r="M275" s="11"/>
    </row>
    <row r="276" spans="1:13" x14ac:dyDescent="0.2">
      <c r="A276" s="130">
        <v>12833</v>
      </c>
      <c r="B276" s="23" t="s">
        <v>255</v>
      </c>
      <c r="C276" s="207">
        <v>0</v>
      </c>
      <c r="D276" s="207">
        <v>0</v>
      </c>
      <c r="E276" s="207">
        <v>0</v>
      </c>
      <c r="F276" s="207">
        <v>0</v>
      </c>
      <c r="G276" s="207">
        <v>0</v>
      </c>
      <c r="H276" s="10">
        <f t="shared" si="4"/>
        <v>0</v>
      </c>
      <c r="I276" s="10"/>
      <c r="K276" s="11"/>
      <c r="L276" s="11"/>
      <c r="M276" s="11"/>
    </row>
    <row r="277" spans="1:13" x14ac:dyDescent="0.2">
      <c r="A277" s="130">
        <v>12839</v>
      </c>
      <c r="B277" s="23" t="s">
        <v>256</v>
      </c>
      <c r="C277" s="207">
        <v>0</v>
      </c>
      <c r="D277" s="207">
        <v>0</v>
      </c>
      <c r="E277" s="207">
        <v>0</v>
      </c>
      <c r="F277" s="207">
        <v>0</v>
      </c>
      <c r="G277" s="207">
        <v>0</v>
      </c>
      <c r="H277" s="10">
        <f t="shared" si="4"/>
        <v>0</v>
      </c>
      <c r="I277" s="10"/>
      <c r="K277" s="11"/>
      <c r="L277" s="11"/>
      <c r="M277" s="11"/>
    </row>
    <row r="278" spans="1:13" x14ac:dyDescent="0.2">
      <c r="A278" s="130">
        <v>12841</v>
      </c>
      <c r="B278" s="23" t="s">
        <v>257</v>
      </c>
      <c r="C278" s="207">
        <v>0</v>
      </c>
      <c r="D278" s="207">
        <v>0</v>
      </c>
      <c r="E278" s="207">
        <v>0</v>
      </c>
      <c r="F278" s="207">
        <v>0</v>
      </c>
      <c r="G278" s="207">
        <v>0</v>
      </c>
      <c r="H278" s="10">
        <f t="shared" si="4"/>
        <v>0</v>
      </c>
      <c r="I278" s="10"/>
      <c r="K278" s="11"/>
      <c r="L278" s="11"/>
      <c r="M278" s="11"/>
    </row>
    <row r="279" spans="1:13" x14ac:dyDescent="0.2">
      <c r="A279" s="130">
        <v>12842</v>
      </c>
      <c r="B279" s="23" t="s">
        <v>258</v>
      </c>
      <c r="C279" s="207">
        <v>0</v>
      </c>
      <c r="D279" s="207">
        <v>0</v>
      </c>
      <c r="E279" s="207">
        <v>0</v>
      </c>
      <c r="F279" s="207">
        <v>0</v>
      </c>
      <c r="G279" s="207">
        <v>0</v>
      </c>
      <c r="H279" s="10">
        <f t="shared" si="4"/>
        <v>0</v>
      </c>
      <c r="I279" s="10"/>
      <c r="K279" s="11"/>
      <c r="L279" s="11"/>
      <c r="M279" s="11"/>
    </row>
    <row r="280" spans="1:13" x14ac:dyDescent="0.2">
      <c r="A280" s="130">
        <v>12843</v>
      </c>
      <c r="B280" s="23" t="s">
        <v>259</v>
      </c>
      <c r="C280" s="207">
        <v>0</v>
      </c>
      <c r="D280" s="207">
        <v>0</v>
      </c>
      <c r="E280" s="207">
        <v>0</v>
      </c>
      <c r="F280" s="207">
        <v>0</v>
      </c>
      <c r="G280" s="207">
        <v>0</v>
      </c>
      <c r="H280" s="10">
        <f t="shared" si="4"/>
        <v>0</v>
      </c>
      <c r="I280" s="10"/>
      <c r="K280" s="11"/>
      <c r="L280" s="11"/>
      <c r="M280" s="11"/>
    </row>
    <row r="281" spans="1:13" x14ac:dyDescent="0.2">
      <c r="A281" s="130">
        <v>12891</v>
      </c>
      <c r="B281" s="23" t="s">
        <v>260</v>
      </c>
      <c r="C281" s="207">
        <v>0</v>
      </c>
      <c r="D281" s="207">
        <v>0</v>
      </c>
      <c r="E281" s="207">
        <v>0</v>
      </c>
      <c r="F281" s="207">
        <v>0</v>
      </c>
      <c r="G281" s="207">
        <v>0</v>
      </c>
      <c r="H281" s="10">
        <f t="shared" si="4"/>
        <v>0</v>
      </c>
      <c r="I281" s="10"/>
      <c r="K281" s="11"/>
      <c r="L281" s="11"/>
      <c r="M281" s="11"/>
    </row>
    <row r="282" spans="1:13" x14ac:dyDescent="0.2">
      <c r="A282" s="130">
        <v>12911</v>
      </c>
      <c r="B282" s="23" t="s">
        <v>261</v>
      </c>
      <c r="C282" s="207">
        <v>0</v>
      </c>
      <c r="D282" s="207">
        <v>0</v>
      </c>
      <c r="E282" s="207">
        <v>0</v>
      </c>
      <c r="F282" s="207">
        <v>0</v>
      </c>
      <c r="G282" s="207">
        <v>0</v>
      </c>
      <c r="H282" s="10">
        <f t="shared" si="4"/>
        <v>0</v>
      </c>
      <c r="I282" s="10"/>
      <c r="K282" s="11"/>
      <c r="L282" s="11"/>
      <c r="M282" s="11"/>
    </row>
    <row r="283" spans="1:13" x14ac:dyDescent="0.2">
      <c r="A283" s="130">
        <v>12921</v>
      </c>
      <c r="B283" s="23" t="s">
        <v>262</v>
      </c>
      <c r="C283" s="207">
        <v>0</v>
      </c>
      <c r="D283" s="207">
        <v>0</v>
      </c>
      <c r="E283" s="207">
        <v>0</v>
      </c>
      <c r="F283" s="207">
        <v>0</v>
      </c>
      <c r="G283" s="207">
        <v>0</v>
      </c>
      <c r="H283" s="10">
        <f t="shared" si="4"/>
        <v>0</v>
      </c>
      <c r="I283" s="10"/>
      <c r="K283" s="11"/>
      <c r="L283" s="11"/>
      <c r="M283" s="11"/>
    </row>
    <row r="284" spans="1:13" x14ac:dyDescent="0.2">
      <c r="A284" s="130">
        <v>12931</v>
      </c>
      <c r="B284" s="23" t="s">
        <v>263</v>
      </c>
      <c r="C284" s="207">
        <v>0</v>
      </c>
      <c r="D284" s="207">
        <v>0</v>
      </c>
      <c r="E284" s="207">
        <v>0</v>
      </c>
      <c r="F284" s="207">
        <v>0</v>
      </c>
      <c r="G284" s="207">
        <v>0</v>
      </c>
      <c r="H284" s="10">
        <f t="shared" si="4"/>
        <v>0</v>
      </c>
      <c r="I284" s="10"/>
      <c r="K284" s="11"/>
      <c r="L284" s="11"/>
      <c r="M284" s="11"/>
    </row>
    <row r="285" spans="1:13" x14ac:dyDescent="0.2">
      <c r="A285" s="130">
        <v>12932</v>
      </c>
      <c r="B285" s="23" t="s">
        <v>264</v>
      </c>
      <c r="C285" s="207">
        <v>0</v>
      </c>
      <c r="D285" s="207">
        <v>0</v>
      </c>
      <c r="E285" s="207">
        <v>0</v>
      </c>
      <c r="F285" s="207">
        <v>0</v>
      </c>
      <c r="G285" s="207">
        <v>0</v>
      </c>
      <c r="H285" s="10">
        <f t="shared" si="4"/>
        <v>0</v>
      </c>
      <c r="I285" s="10"/>
      <c r="K285" s="11"/>
      <c r="L285" s="11"/>
      <c r="M285" s="11"/>
    </row>
    <row r="286" spans="1:13" x14ac:dyDescent="0.2">
      <c r="A286" s="130">
        <v>12933</v>
      </c>
      <c r="B286" s="23" t="s">
        <v>265</v>
      </c>
      <c r="C286" s="207">
        <v>0</v>
      </c>
      <c r="D286" s="207">
        <v>0</v>
      </c>
      <c r="E286" s="207">
        <v>0</v>
      </c>
      <c r="F286" s="207">
        <v>0</v>
      </c>
      <c r="G286" s="207">
        <v>0</v>
      </c>
      <c r="H286" s="10">
        <f t="shared" si="4"/>
        <v>0</v>
      </c>
      <c r="I286" s="10"/>
      <c r="K286" s="11"/>
      <c r="L286" s="11"/>
      <c r="M286" s="11"/>
    </row>
    <row r="287" spans="1:13" x14ac:dyDescent="0.2">
      <c r="A287" s="130">
        <v>21111</v>
      </c>
      <c r="B287" s="23" t="s">
        <v>266</v>
      </c>
      <c r="C287" s="207">
        <v>0</v>
      </c>
      <c r="D287" s="207">
        <v>-2842443.49</v>
      </c>
      <c r="E287" s="207">
        <v>-2842443.49</v>
      </c>
      <c r="F287" s="207">
        <v>6725982520.8800001</v>
      </c>
      <c r="G287" s="207">
        <v>6724200164.1400003</v>
      </c>
      <c r="H287" s="10">
        <f t="shared" si="4"/>
        <v>-1060086.75</v>
      </c>
      <c r="I287" s="10"/>
      <c r="J287" s="12"/>
      <c r="K287" s="11"/>
      <c r="L287" s="11"/>
      <c r="M287" s="11"/>
    </row>
    <row r="288" spans="1:13" x14ac:dyDescent="0.2">
      <c r="A288" s="130">
        <v>21112</v>
      </c>
      <c r="B288" s="23" t="s">
        <v>267</v>
      </c>
      <c r="C288" s="207">
        <v>0</v>
      </c>
      <c r="D288" s="207">
        <v>0</v>
      </c>
      <c r="E288" s="207">
        <v>0</v>
      </c>
      <c r="F288" s="207">
        <v>0</v>
      </c>
      <c r="G288" s="207">
        <v>0</v>
      </c>
      <c r="H288" s="10">
        <f t="shared" si="4"/>
        <v>0</v>
      </c>
      <c r="I288" s="10"/>
      <c r="J288" s="12"/>
      <c r="K288" s="11"/>
      <c r="L288" s="11"/>
      <c r="M288" s="11"/>
    </row>
    <row r="289" spans="1:13" x14ac:dyDescent="0.2">
      <c r="A289" s="130">
        <v>21113</v>
      </c>
      <c r="B289" s="23" t="s">
        <v>268</v>
      </c>
      <c r="C289" s="207">
        <v>0</v>
      </c>
      <c r="D289" s="207">
        <v>0</v>
      </c>
      <c r="E289" s="207">
        <v>0</v>
      </c>
      <c r="F289" s="207">
        <v>0</v>
      </c>
      <c r="G289" s="207">
        <v>0</v>
      </c>
      <c r="H289" s="10">
        <f t="shared" si="4"/>
        <v>0</v>
      </c>
      <c r="I289" s="10"/>
      <c r="J289" s="12"/>
      <c r="K289" s="11"/>
      <c r="L289" s="11"/>
      <c r="M289" s="11"/>
    </row>
    <row r="290" spans="1:13" x14ac:dyDescent="0.2">
      <c r="A290" s="130">
        <v>21114</v>
      </c>
      <c r="B290" s="23" t="s">
        <v>269</v>
      </c>
      <c r="C290" s="207">
        <v>0</v>
      </c>
      <c r="D290" s="207">
        <v>0</v>
      </c>
      <c r="E290" s="207">
        <v>0</v>
      </c>
      <c r="F290" s="207">
        <v>0</v>
      </c>
      <c r="G290" s="207">
        <v>0</v>
      </c>
      <c r="H290" s="10">
        <f t="shared" si="4"/>
        <v>0</v>
      </c>
      <c r="I290" s="10"/>
      <c r="J290" s="12"/>
      <c r="K290" s="11"/>
      <c r="L290" s="11"/>
      <c r="M290" s="11"/>
    </row>
    <row r="291" spans="1:13" x14ac:dyDescent="0.2">
      <c r="A291" s="130">
        <v>21115</v>
      </c>
      <c r="B291" s="23" t="s">
        <v>270</v>
      </c>
      <c r="C291" s="207">
        <v>0</v>
      </c>
      <c r="D291" s="207">
        <v>0</v>
      </c>
      <c r="E291" s="207">
        <v>0</v>
      </c>
      <c r="F291" s="207">
        <v>0</v>
      </c>
      <c r="G291" s="207">
        <v>0</v>
      </c>
      <c r="H291" s="10">
        <f t="shared" si="4"/>
        <v>0</v>
      </c>
      <c r="I291" s="10"/>
      <c r="J291" s="12"/>
      <c r="K291" s="11"/>
      <c r="L291" s="11"/>
      <c r="M291" s="11"/>
    </row>
    <row r="292" spans="1:13" x14ac:dyDescent="0.2">
      <c r="A292" s="130">
        <v>21116</v>
      </c>
      <c r="B292" s="23" t="s">
        <v>271</v>
      </c>
      <c r="C292" s="207">
        <v>0</v>
      </c>
      <c r="D292" s="207">
        <v>0</v>
      </c>
      <c r="E292" s="207">
        <v>0</v>
      </c>
      <c r="F292" s="207">
        <v>0</v>
      </c>
      <c r="G292" s="207">
        <v>0</v>
      </c>
      <c r="H292" s="10">
        <f t="shared" si="4"/>
        <v>0</v>
      </c>
      <c r="I292" s="10"/>
      <c r="J292" s="12"/>
      <c r="K292" s="11"/>
      <c r="L292" s="11"/>
      <c r="M292" s="11"/>
    </row>
    <row r="293" spans="1:13" x14ac:dyDescent="0.2">
      <c r="A293" s="130">
        <v>21121</v>
      </c>
      <c r="B293" s="23" t="s">
        <v>272</v>
      </c>
      <c r="C293" s="207">
        <v>-8360852.8799999999</v>
      </c>
      <c r="D293" s="207">
        <v>0</v>
      </c>
      <c r="E293" s="207">
        <v>0</v>
      </c>
      <c r="F293" s="207">
        <v>562698211.30999994</v>
      </c>
      <c r="G293" s="207">
        <v>562698211.30999994</v>
      </c>
      <c r="H293" s="10">
        <f t="shared" si="4"/>
        <v>0</v>
      </c>
      <c r="I293" s="10"/>
      <c r="J293" s="12"/>
      <c r="K293" s="11"/>
      <c r="L293" s="13"/>
      <c r="M293" s="11"/>
    </row>
    <row r="294" spans="1:13" x14ac:dyDescent="0.2">
      <c r="A294" s="130">
        <v>21122</v>
      </c>
      <c r="B294" s="23" t="s">
        <v>273</v>
      </c>
      <c r="C294" s="207">
        <v>0</v>
      </c>
      <c r="D294" s="207">
        <v>0</v>
      </c>
      <c r="E294" s="207">
        <v>0</v>
      </c>
      <c r="F294" s="207">
        <v>0</v>
      </c>
      <c r="G294" s="207">
        <v>0</v>
      </c>
      <c r="H294" s="10">
        <f t="shared" si="4"/>
        <v>0</v>
      </c>
      <c r="I294" s="10"/>
      <c r="J294" s="12"/>
      <c r="K294" s="11"/>
      <c r="L294" s="11"/>
      <c r="M294" s="11"/>
    </row>
    <row r="295" spans="1:13" x14ac:dyDescent="0.2">
      <c r="A295" s="130">
        <v>21129</v>
      </c>
      <c r="B295" s="23" t="s">
        <v>274</v>
      </c>
      <c r="C295" s="207">
        <v>0</v>
      </c>
      <c r="D295" s="207">
        <v>0</v>
      </c>
      <c r="E295" s="207">
        <v>0</v>
      </c>
      <c r="F295" s="207">
        <v>0</v>
      </c>
      <c r="G295" s="207">
        <v>0</v>
      </c>
      <c r="H295" s="10">
        <f t="shared" si="4"/>
        <v>0</v>
      </c>
      <c r="I295" s="10"/>
      <c r="J295" s="12"/>
      <c r="K295" s="11"/>
      <c r="L295" s="11"/>
      <c r="M295" s="11"/>
    </row>
    <row r="296" spans="1:13" x14ac:dyDescent="0.2">
      <c r="A296" s="130">
        <v>21131</v>
      </c>
      <c r="B296" s="23" t="s">
        <v>275</v>
      </c>
      <c r="C296" s="207">
        <v>0</v>
      </c>
      <c r="D296" s="207">
        <v>0</v>
      </c>
      <c r="E296" s="207">
        <v>0</v>
      </c>
      <c r="F296" s="207">
        <v>0</v>
      </c>
      <c r="G296" s="207">
        <v>0</v>
      </c>
      <c r="H296" s="10">
        <f t="shared" si="4"/>
        <v>0</v>
      </c>
      <c r="I296" s="10"/>
      <c r="J296" s="12"/>
      <c r="K296" s="11"/>
      <c r="L296" s="11"/>
      <c r="M296" s="11"/>
    </row>
    <row r="297" spans="1:13" x14ac:dyDescent="0.2">
      <c r="A297" s="130">
        <v>21132</v>
      </c>
      <c r="B297" s="23" t="s">
        <v>276</v>
      </c>
      <c r="C297" s="207">
        <v>0</v>
      </c>
      <c r="D297" s="207">
        <v>0</v>
      </c>
      <c r="E297" s="207">
        <v>0</v>
      </c>
      <c r="F297" s="207">
        <v>0</v>
      </c>
      <c r="G297" s="207">
        <v>0</v>
      </c>
      <c r="H297" s="10">
        <f t="shared" si="4"/>
        <v>0</v>
      </c>
      <c r="I297" s="10"/>
      <c r="J297" s="12"/>
      <c r="K297" s="11"/>
      <c r="L297" s="11"/>
      <c r="M297" s="11"/>
    </row>
    <row r="298" spans="1:13" x14ac:dyDescent="0.2">
      <c r="A298" s="130">
        <v>21141</v>
      </c>
      <c r="B298" s="23" t="s">
        <v>277</v>
      </c>
      <c r="C298" s="207">
        <v>0</v>
      </c>
      <c r="D298" s="207">
        <v>0</v>
      </c>
      <c r="E298" s="207">
        <v>0</v>
      </c>
      <c r="F298" s="207">
        <v>0</v>
      </c>
      <c r="G298" s="207">
        <v>0</v>
      </c>
      <c r="H298" s="10">
        <f t="shared" si="4"/>
        <v>0</v>
      </c>
      <c r="I298" s="10"/>
      <c r="J298" s="12"/>
      <c r="K298" s="11"/>
      <c r="L298" s="11"/>
      <c r="M298" s="11"/>
    </row>
    <row r="299" spans="1:13" x14ac:dyDescent="0.2">
      <c r="A299" s="130">
        <v>21142</v>
      </c>
      <c r="B299" s="23" t="s">
        <v>278</v>
      </c>
      <c r="C299" s="207">
        <v>0</v>
      </c>
      <c r="D299" s="207">
        <v>0</v>
      </c>
      <c r="E299" s="207">
        <v>0</v>
      </c>
      <c r="F299" s="207">
        <v>0</v>
      </c>
      <c r="G299" s="207">
        <v>0</v>
      </c>
      <c r="H299" s="10">
        <f t="shared" si="4"/>
        <v>0</v>
      </c>
      <c r="I299" s="10"/>
      <c r="J299" s="12"/>
      <c r="K299" s="11"/>
      <c r="L299" s="11"/>
      <c r="M299" s="11"/>
    </row>
    <row r="300" spans="1:13" x14ac:dyDescent="0.2">
      <c r="A300" s="130">
        <v>21143</v>
      </c>
      <c r="B300" s="23" t="s">
        <v>279</v>
      </c>
      <c r="C300" s="207">
        <v>0</v>
      </c>
      <c r="D300" s="207">
        <v>0</v>
      </c>
      <c r="E300" s="207">
        <v>0</v>
      </c>
      <c r="F300" s="207">
        <v>0</v>
      </c>
      <c r="G300" s="207">
        <v>0</v>
      </c>
      <c r="H300" s="10">
        <f t="shared" si="4"/>
        <v>0</v>
      </c>
      <c r="I300" s="10"/>
      <c r="J300" s="12"/>
      <c r="K300" s="11"/>
      <c r="L300" s="11"/>
      <c r="M300" s="11"/>
    </row>
    <row r="301" spans="1:13" x14ac:dyDescent="0.2">
      <c r="A301" s="130">
        <v>21151</v>
      </c>
      <c r="B301" s="23" t="s">
        <v>280</v>
      </c>
      <c r="C301" s="207">
        <v>0</v>
      </c>
      <c r="D301" s="207">
        <v>-96.19</v>
      </c>
      <c r="E301" s="207">
        <v>-96.19</v>
      </c>
      <c r="F301" s="207">
        <v>23946883.260000002</v>
      </c>
      <c r="G301" s="207">
        <v>23951297.149999999</v>
      </c>
      <c r="H301" s="10">
        <f t="shared" si="4"/>
        <v>-4510.08</v>
      </c>
      <c r="I301" s="10"/>
      <c r="J301" s="12"/>
      <c r="K301" s="11"/>
      <c r="L301" s="11"/>
      <c r="M301" s="11"/>
    </row>
    <row r="302" spans="1:13" x14ac:dyDescent="0.2">
      <c r="A302" s="130">
        <v>21152</v>
      </c>
      <c r="B302" s="23" t="s">
        <v>281</v>
      </c>
      <c r="C302" s="207">
        <v>0</v>
      </c>
      <c r="D302" s="207">
        <v>0</v>
      </c>
      <c r="E302" s="207">
        <v>0</v>
      </c>
      <c r="F302" s="207">
        <v>0</v>
      </c>
      <c r="G302" s="207">
        <v>0</v>
      </c>
      <c r="H302" s="10">
        <f t="shared" si="4"/>
        <v>0</v>
      </c>
      <c r="I302" s="10"/>
      <c r="J302" s="12"/>
      <c r="K302" s="11"/>
      <c r="L302" s="11"/>
      <c r="M302" s="11"/>
    </row>
    <row r="303" spans="1:13" x14ac:dyDescent="0.2">
      <c r="A303" s="130">
        <v>21153</v>
      </c>
      <c r="B303" s="23" t="s">
        <v>282</v>
      </c>
      <c r="C303" s="207">
        <v>0</v>
      </c>
      <c r="D303" s="207">
        <v>0</v>
      </c>
      <c r="E303" s="207">
        <v>0</v>
      </c>
      <c r="F303" s="207">
        <v>0</v>
      </c>
      <c r="G303" s="207">
        <v>0</v>
      </c>
      <c r="H303" s="10">
        <f t="shared" si="4"/>
        <v>0</v>
      </c>
      <c r="I303" s="10"/>
      <c r="J303" s="12"/>
      <c r="K303" s="11"/>
      <c r="L303" s="11"/>
      <c r="M303" s="11"/>
    </row>
    <row r="304" spans="1:13" x14ac:dyDescent="0.2">
      <c r="A304" s="130">
        <v>21154</v>
      </c>
      <c r="B304" s="23" t="s">
        <v>283</v>
      </c>
      <c r="C304" s="207">
        <v>0</v>
      </c>
      <c r="D304" s="207">
        <v>0</v>
      </c>
      <c r="E304" s="207">
        <v>0</v>
      </c>
      <c r="F304" s="207">
        <v>0</v>
      </c>
      <c r="G304" s="207">
        <v>0</v>
      </c>
      <c r="H304" s="10">
        <f t="shared" si="4"/>
        <v>0</v>
      </c>
      <c r="I304" s="10"/>
      <c r="J304" s="12"/>
      <c r="K304" s="11"/>
      <c r="L304" s="11"/>
      <c r="M304" s="11"/>
    </row>
    <row r="305" spans="1:13" x14ac:dyDescent="0.2">
      <c r="A305" s="130">
        <v>21155</v>
      </c>
      <c r="B305" s="23" t="s">
        <v>284</v>
      </c>
      <c r="C305" s="207">
        <v>0</v>
      </c>
      <c r="D305" s="207">
        <v>0</v>
      </c>
      <c r="E305" s="207">
        <v>0</v>
      </c>
      <c r="F305" s="207">
        <v>0</v>
      </c>
      <c r="G305" s="207">
        <v>0</v>
      </c>
      <c r="H305" s="10">
        <f t="shared" si="4"/>
        <v>0</v>
      </c>
      <c r="I305" s="10"/>
      <c r="J305" s="12"/>
      <c r="K305" s="11"/>
      <c r="L305" s="11"/>
      <c r="M305" s="11"/>
    </row>
    <row r="306" spans="1:13" x14ac:dyDescent="0.2">
      <c r="A306" s="130">
        <v>21156</v>
      </c>
      <c r="B306" s="23" t="s">
        <v>285</v>
      </c>
      <c r="C306" s="207">
        <v>0</v>
      </c>
      <c r="D306" s="207">
        <v>0</v>
      </c>
      <c r="E306" s="207">
        <v>0</v>
      </c>
      <c r="F306" s="207">
        <v>0</v>
      </c>
      <c r="G306" s="207">
        <v>0</v>
      </c>
      <c r="H306" s="10">
        <f t="shared" si="4"/>
        <v>0</v>
      </c>
      <c r="I306" s="10"/>
      <c r="J306" s="12"/>
      <c r="K306" s="11"/>
      <c r="L306" s="11"/>
      <c r="M306" s="11"/>
    </row>
    <row r="307" spans="1:13" x14ac:dyDescent="0.2">
      <c r="A307" s="130">
        <v>21157</v>
      </c>
      <c r="B307" s="23" t="s">
        <v>286</v>
      </c>
      <c r="C307" s="207">
        <v>0</v>
      </c>
      <c r="D307" s="207">
        <v>0</v>
      </c>
      <c r="E307" s="207">
        <v>0</v>
      </c>
      <c r="F307" s="207">
        <v>0</v>
      </c>
      <c r="G307" s="207">
        <v>0</v>
      </c>
      <c r="H307" s="10">
        <f t="shared" si="4"/>
        <v>0</v>
      </c>
      <c r="I307" s="10"/>
      <c r="J307" s="12"/>
      <c r="K307" s="11"/>
      <c r="L307" s="11"/>
      <c r="M307" s="11"/>
    </row>
    <row r="308" spans="1:13" x14ac:dyDescent="0.2">
      <c r="A308" s="130">
        <v>21161</v>
      </c>
      <c r="B308" s="23" t="s">
        <v>287</v>
      </c>
      <c r="C308" s="207">
        <v>0</v>
      </c>
      <c r="D308" s="207">
        <v>0</v>
      </c>
      <c r="E308" s="207">
        <v>0</v>
      </c>
      <c r="F308" s="207">
        <v>0</v>
      </c>
      <c r="G308" s="207">
        <v>0</v>
      </c>
      <c r="H308" s="10">
        <f t="shared" si="4"/>
        <v>0</v>
      </c>
      <c r="I308" s="10"/>
      <c r="J308" s="12"/>
      <c r="K308" s="11"/>
      <c r="L308" s="11"/>
      <c r="M308" s="11"/>
    </row>
    <row r="309" spans="1:13" x14ac:dyDescent="0.2">
      <c r="A309" s="130">
        <v>21162</v>
      </c>
      <c r="B309" s="23" t="s">
        <v>288</v>
      </c>
      <c r="C309" s="207">
        <v>0</v>
      </c>
      <c r="D309" s="207">
        <v>0</v>
      </c>
      <c r="E309" s="207">
        <v>0</v>
      </c>
      <c r="F309" s="207">
        <v>0</v>
      </c>
      <c r="G309" s="207">
        <v>0</v>
      </c>
      <c r="H309" s="10">
        <f t="shared" si="4"/>
        <v>0</v>
      </c>
      <c r="I309" s="10"/>
      <c r="J309" s="12"/>
      <c r="K309" s="11"/>
      <c r="L309" s="11"/>
      <c r="M309" s="11"/>
    </row>
    <row r="310" spans="1:13" x14ac:dyDescent="0.2">
      <c r="A310" s="130">
        <v>21163</v>
      </c>
      <c r="B310" s="23" t="s">
        <v>289</v>
      </c>
      <c r="C310" s="207">
        <v>0</v>
      </c>
      <c r="D310" s="207">
        <v>0</v>
      </c>
      <c r="E310" s="207">
        <v>0</v>
      </c>
      <c r="F310" s="207">
        <v>0</v>
      </c>
      <c r="G310" s="207">
        <v>0</v>
      </c>
      <c r="H310" s="10">
        <f t="shared" si="4"/>
        <v>0</v>
      </c>
      <c r="I310" s="10"/>
      <c r="J310" s="12"/>
      <c r="K310" s="11"/>
      <c r="L310" s="11"/>
      <c r="M310" s="11"/>
    </row>
    <row r="311" spans="1:13" x14ac:dyDescent="0.2">
      <c r="A311" s="130">
        <v>21164</v>
      </c>
      <c r="B311" s="23" t="s">
        <v>290</v>
      </c>
      <c r="C311" s="207">
        <v>0</v>
      </c>
      <c r="D311" s="207">
        <v>0</v>
      </c>
      <c r="E311" s="207">
        <v>0</v>
      </c>
      <c r="F311" s="207">
        <v>0</v>
      </c>
      <c r="G311" s="207">
        <v>0</v>
      </c>
      <c r="H311" s="10">
        <f t="shared" si="4"/>
        <v>0</v>
      </c>
      <c r="I311" s="10"/>
      <c r="J311" s="12"/>
      <c r="K311" s="11"/>
      <c r="L311" s="11"/>
      <c r="M311" s="11"/>
    </row>
    <row r="312" spans="1:13" x14ac:dyDescent="0.2">
      <c r="A312" s="130">
        <v>21165</v>
      </c>
      <c r="B312" s="23" t="s">
        <v>291</v>
      </c>
      <c r="C312" s="207">
        <v>0</v>
      </c>
      <c r="D312" s="207">
        <v>0</v>
      </c>
      <c r="E312" s="207">
        <v>0</v>
      </c>
      <c r="F312" s="207">
        <v>0</v>
      </c>
      <c r="G312" s="207">
        <v>0</v>
      </c>
      <c r="H312" s="10">
        <f t="shared" si="4"/>
        <v>0</v>
      </c>
      <c r="I312" s="10"/>
      <c r="J312" s="12"/>
      <c r="K312" s="11"/>
      <c r="L312" s="11"/>
      <c r="M312" s="11"/>
    </row>
    <row r="313" spans="1:13" x14ac:dyDescent="0.2">
      <c r="A313" s="130">
        <v>21166</v>
      </c>
      <c r="B313" s="23" t="s">
        <v>292</v>
      </c>
      <c r="C313" s="207">
        <v>0</v>
      </c>
      <c r="D313" s="207">
        <v>0</v>
      </c>
      <c r="E313" s="207">
        <v>0</v>
      </c>
      <c r="F313" s="207">
        <v>0</v>
      </c>
      <c r="G313" s="207">
        <v>0</v>
      </c>
      <c r="H313" s="10">
        <f t="shared" si="4"/>
        <v>0</v>
      </c>
      <c r="I313" s="10"/>
      <c r="J313" s="12"/>
      <c r="K313" s="11"/>
      <c r="L313" s="11"/>
      <c r="M313" s="11"/>
    </row>
    <row r="314" spans="1:13" x14ac:dyDescent="0.2">
      <c r="A314" s="130">
        <v>21167</v>
      </c>
      <c r="B314" s="23" t="s">
        <v>293</v>
      </c>
      <c r="C314" s="207">
        <v>0</v>
      </c>
      <c r="D314" s="207">
        <v>0</v>
      </c>
      <c r="E314" s="207">
        <v>0</v>
      </c>
      <c r="F314" s="207">
        <v>0</v>
      </c>
      <c r="G314" s="207">
        <v>0</v>
      </c>
      <c r="H314" s="10">
        <f t="shared" si="4"/>
        <v>0</v>
      </c>
      <c r="I314" s="10"/>
      <c r="J314" s="12"/>
      <c r="K314" s="11"/>
      <c r="L314" s="11"/>
      <c r="M314" s="11"/>
    </row>
    <row r="315" spans="1:13" x14ac:dyDescent="0.2">
      <c r="A315" s="130">
        <v>21168</v>
      </c>
      <c r="B315" s="23" t="s">
        <v>294</v>
      </c>
      <c r="C315" s="207">
        <v>0</v>
      </c>
      <c r="D315" s="207">
        <v>0</v>
      </c>
      <c r="E315" s="207">
        <v>0</v>
      </c>
      <c r="F315" s="207">
        <v>0</v>
      </c>
      <c r="G315" s="207">
        <v>0</v>
      </c>
      <c r="H315" s="10">
        <f t="shared" si="4"/>
        <v>0</v>
      </c>
      <c r="I315" s="10"/>
      <c r="J315" s="12"/>
      <c r="K315" s="11"/>
      <c r="L315" s="11"/>
      <c r="M315" s="11"/>
    </row>
    <row r="316" spans="1:13" x14ac:dyDescent="0.2">
      <c r="A316" s="130">
        <v>21169</v>
      </c>
      <c r="B316" s="23" t="s">
        <v>295</v>
      </c>
      <c r="C316" s="207">
        <v>0</v>
      </c>
      <c r="D316" s="207">
        <v>0</v>
      </c>
      <c r="E316" s="207">
        <v>0</v>
      </c>
      <c r="F316" s="207">
        <v>0</v>
      </c>
      <c r="G316" s="207">
        <v>0</v>
      </c>
      <c r="H316" s="10">
        <f t="shared" si="4"/>
        <v>0</v>
      </c>
      <c r="I316" s="10"/>
      <c r="J316" s="12"/>
      <c r="K316" s="11"/>
      <c r="L316" s="11"/>
      <c r="M316" s="11"/>
    </row>
    <row r="317" spans="1:13" x14ac:dyDescent="0.2">
      <c r="A317" s="130">
        <v>21171</v>
      </c>
      <c r="B317" s="23" t="s">
        <v>296</v>
      </c>
      <c r="C317" s="207">
        <v>-767099.35</v>
      </c>
      <c r="D317" s="207">
        <v>-827376.38</v>
      </c>
      <c r="E317" s="207">
        <v>-827376.38</v>
      </c>
      <c r="F317" s="207">
        <v>193199592.61000001</v>
      </c>
      <c r="G317" s="207">
        <v>193312956.96000001</v>
      </c>
      <c r="H317" s="10">
        <f t="shared" si="4"/>
        <v>-940740.73</v>
      </c>
      <c r="I317" s="10"/>
      <c r="J317" s="12"/>
      <c r="K317" s="11"/>
      <c r="L317" s="11"/>
      <c r="M317" s="11"/>
    </row>
    <row r="318" spans="1:13" x14ac:dyDescent="0.2">
      <c r="A318" s="130">
        <v>21172</v>
      </c>
      <c r="B318" s="23" t="s">
        <v>297</v>
      </c>
      <c r="C318" s="207">
        <v>0</v>
      </c>
      <c r="D318" s="207">
        <v>0</v>
      </c>
      <c r="E318" s="207">
        <v>0</v>
      </c>
      <c r="F318" s="207">
        <v>0</v>
      </c>
      <c r="G318" s="207">
        <v>0</v>
      </c>
      <c r="H318" s="10">
        <f t="shared" si="4"/>
        <v>0</v>
      </c>
      <c r="I318" s="10"/>
      <c r="J318" s="12"/>
      <c r="K318" s="11"/>
      <c r="L318" s="11"/>
      <c r="M318" s="11"/>
    </row>
    <row r="319" spans="1:13" x14ac:dyDescent="0.2">
      <c r="A319" s="130">
        <v>21173</v>
      </c>
      <c r="B319" s="23" t="s">
        <v>298</v>
      </c>
      <c r="C319" s="207">
        <v>0</v>
      </c>
      <c r="D319" s="207">
        <v>0</v>
      </c>
      <c r="E319" s="207">
        <v>0</v>
      </c>
      <c r="F319" s="207">
        <v>0</v>
      </c>
      <c r="G319" s="207">
        <v>0</v>
      </c>
      <c r="H319" s="10">
        <f t="shared" si="4"/>
        <v>0</v>
      </c>
      <c r="I319" s="10"/>
      <c r="J319" s="12"/>
      <c r="K319" s="11"/>
      <c r="L319" s="11"/>
      <c r="M319" s="11"/>
    </row>
    <row r="320" spans="1:13" x14ac:dyDescent="0.2">
      <c r="A320" s="130">
        <v>21174</v>
      </c>
      <c r="B320" s="23" t="s">
        <v>299</v>
      </c>
      <c r="C320" s="207">
        <v>0</v>
      </c>
      <c r="D320" s="207">
        <v>0</v>
      </c>
      <c r="E320" s="207">
        <v>0</v>
      </c>
      <c r="F320" s="207">
        <v>0</v>
      </c>
      <c r="G320" s="207">
        <v>0</v>
      </c>
      <c r="H320" s="10">
        <f t="shared" si="4"/>
        <v>0</v>
      </c>
      <c r="I320" s="10"/>
      <c r="J320" s="12"/>
      <c r="K320" s="11"/>
      <c r="L320" s="11"/>
      <c r="M320" s="11"/>
    </row>
    <row r="321" spans="1:13" x14ac:dyDescent="0.2">
      <c r="A321" s="130">
        <v>21175</v>
      </c>
      <c r="B321" s="23" t="s">
        <v>300</v>
      </c>
      <c r="C321" s="207">
        <v>0</v>
      </c>
      <c r="D321" s="207">
        <v>0</v>
      </c>
      <c r="E321" s="207">
        <v>0</v>
      </c>
      <c r="F321" s="207">
        <v>0</v>
      </c>
      <c r="G321" s="207">
        <v>0</v>
      </c>
      <c r="H321" s="10">
        <f t="shared" si="4"/>
        <v>0</v>
      </c>
      <c r="I321" s="10"/>
      <c r="J321" s="12"/>
      <c r="K321" s="11"/>
      <c r="L321" s="11"/>
      <c r="M321" s="11"/>
    </row>
    <row r="322" spans="1:13" x14ac:dyDescent="0.2">
      <c r="A322" s="130">
        <v>21179</v>
      </c>
      <c r="B322" s="23" t="s">
        <v>301</v>
      </c>
      <c r="C322" s="207">
        <v>0</v>
      </c>
      <c r="D322" s="207">
        <v>0</v>
      </c>
      <c r="E322" s="207">
        <v>0</v>
      </c>
      <c r="F322" s="207">
        <v>0</v>
      </c>
      <c r="G322" s="207">
        <v>0</v>
      </c>
      <c r="H322" s="10">
        <f t="shared" si="4"/>
        <v>0</v>
      </c>
      <c r="I322" s="10"/>
      <c r="J322" s="12"/>
      <c r="K322" s="11"/>
      <c r="L322" s="11"/>
      <c r="M322" s="11"/>
    </row>
    <row r="323" spans="1:13" x14ac:dyDescent="0.2">
      <c r="A323" s="130">
        <v>21181</v>
      </c>
      <c r="B323" s="23" t="s">
        <v>302</v>
      </c>
      <c r="C323" s="207">
        <v>0</v>
      </c>
      <c r="D323" s="207">
        <v>0</v>
      </c>
      <c r="E323" s="207">
        <v>0</v>
      </c>
      <c r="F323" s="207">
        <v>0</v>
      </c>
      <c r="G323" s="207">
        <v>0</v>
      </c>
      <c r="H323" s="10">
        <f t="shared" si="4"/>
        <v>0</v>
      </c>
      <c r="I323" s="10"/>
      <c r="J323" s="12"/>
      <c r="K323" s="11"/>
      <c r="L323" s="11"/>
      <c r="M323" s="11"/>
    </row>
    <row r="324" spans="1:13" x14ac:dyDescent="0.2">
      <c r="A324" s="130">
        <v>21191</v>
      </c>
      <c r="B324" s="23" t="s">
        <v>303</v>
      </c>
      <c r="C324" s="207">
        <v>-9269048.5600000005</v>
      </c>
      <c r="D324" s="207">
        <v>-2297587.58</v>
      </c>
      <c r="E324" s="207">
        <v>-2297587.58</v>
      </c>
      <c r="F324" s="207">
        <v>552104663.20000005</v>
      </c>
      <c r="G324" s="207">
        <v>551324758.04999995</v>
      </c>
      <c r="H324" s="10">
        <f t="shared" si="4"/>
        <v>-1517682.43</v>
      </c>
      <c r="I324" s="10"/>
      <c r="J324" s="12"/>
      <c r="K324" s="11"/>
      <c r="L324" s="11"/>
      <c r="M324" s="11"/>
    </row>
    <row r="325" spans="1:13" x14ac:dyDescent="0.2">
      <c r="A325" s="130">
        <v>21192</v>
      </c>
      <c r="B325" s="23" t="s">
        <v>304</v>
      </c>
      <c r="C325" s="207">
        <v>0</v>
      </c>
      <c r="D325" s="207">
        <v>0</v>
      </c>
      <c r="E325" s="207">
        <v>0</v>
      </c>
      <c r="F325" s="207">
        <v>0</v>
      </c>
      <c r="G325" s="207">
        <v>0</v>
      </c>
      <c r="H325" s="10">
        <f t="shared" si="4"/>
        <v>0</v>
      </c>
      <c r="I325" s="10"/>
      <c r="J325" s="12"/>
      <c r="K325" s="11"/>
      <c r="L325" s="11"/>
      <c r="M325" s="11"/>
    </row>
    <row r="326" spans="1:13" x14ac:dyDescent="0.2">
      <c r="A326" s="130">
        <v>21193</v>
      </c>
      <c r="B326" s="23" t="s">
        <v>305</v>
      </c>
      <c r="C326" s="207">
        <v>0</v>
      </c>
      <c r="D326" s="207">
        <v>0</v>
      </c>
      <c r="E326" s="207">
        <v>0</v>
      </c>
      <c r="F326" s="207">
        <v>0</v>
      </c>
      <c r="G326" s="207">
        <v>0</v>
      </c>
      <c r="H326" s="10">
        <f t="shared" si="4"/>
        <v>0</v>
      </c>
      <c r="I326" s="10"/>
      <c r="J326" s="12"/>
      <c r="K326" s="11"/>
      <c r="L326" s="11"/>
      <c r="M326" s="11"/>
    </row>
    <row r="327" spans="1:13" x14ac:dyDescent="0.2">
      <c r="A327" s="130">
        <v>21194</v>
      </c>
      <c r="B327" s="23" t="s">
        <v>306</v>
      </c>
      <c r="C327" s="207">
        <v>0</v>
      </c>
      <c r="D327" s="207">
        <v>0</v>
      </c>
      <c r="E327" s="207">
        <v>0</v>
      </c>
      <c r="F327" s="207">
        <v>0</v>
      </c>
      <c r="G327" s="207">
        <v>0</v>
      </c>
      <c r="H327" s="10">
        <f t="shared" si="4"/>
        <v>0</v>
      </c>
      <c r="I327" s="10"/>
      <c r="J327" s="12"/>
      <c r="K327" s="11"/>
      <c r="L327" s="11"/>
      <c r="M327" s="11"/>
    </row>
    <row r="328" spans="1:13" x14ac:dyDescent="0.2">
      <c r="A328" s="130">
        <v>21195</v>
      </c>
      <c r="B328" s="23" t="s">
        <v>307</v>
      </c>
      <c r="C328" s="207">
        <v>0</v>
      </c>
      <c r="D328" s="207">
        <v>0</v>
      </c>
      <c r="E328" s="207">
        <v>0</v>
      </c>
      <c r="F328" s="207">
        <v>0</v>
      </c>
      <c r="G328" s="207">
        <v>0</v>
      </c>
      <c r="H328" s="10">
        <f t="shared" si="4"/>
        <v>0</v>
      </c>
      <c r="I328" s="10"/>
      <c r="J328" s="12"/>
      <c r="K328" s="11"/>
      <c r="L328" s="11"/>
      <c r="M328" s="11"/>
    </row>
    <row r="329" spans="1:13" x14ac:dyDescent="0.2">
      <c r="A329" s="130">
        <v>21196</v>
      </c>
      <c r="B329" s="23" t="s">
        <v>308</v>
      </c>
      <c r="C329" s="207">
        <v>0</v>
      </c>
      <c r="D329" s="207">
        <v>0</v>
      </c>
      <c r="E329" s="207">
        <v>0</v>
      </c>
      <c r="F329" s="207">
        <v>0</v>
      </c>
      <c r="G329" s="207">
        <v>0</v>
      </c>
      <c r="H329" s="10">
        <f t="shared" si="4"/>
        <v>0</v>
      </c>
      <c r="I329" s="10"/>
      <c r="J329" s="12"/>
      <c r="K329" s="11"/>
      <c r="L329" s="11"/>
      <c r="M329" s="11"/>
    </row>
    <row r="330" spans="1:13" x14ac:dyDescent="0.2">
      <c r="A330" s="130">
        <v>21197</v>
      </c>
      <c r="B330" s="23" t="s">
        <v>309</v>
      </c>
      <c r="C330" s="207">
        <v>0</v>
      </c>
      <c r="D330" s="207">
        <v>0</v>
      </c>
      <c r="E330" s="207">
        <v>0</v>
      </c>
      <c r="F330" s="207">
        <v>0</v>
      </c>
      <c r="G330" s="207">
        <v>0</v>
      </c>
      <c r="H330" s="10">
        <f t="shared" si="4"/>
        <v>0</v>
      </c>
      <c r="I330" s="10"/>
      <c r="J330" s="12"/>
      <c r="K330" s="11"/>
      <c r="L330" s="11"/>
      <c r="M330" s="11"/>
    </row>
    <row r="331" spans="1:13" x14ac:dyDescent="0.2">
      <c r="A331" s="130">
        <v>21199</v>
      </c>
      <c r="B331" s="23" t="s">
        <v>310</v>
      </c>
      <c r="C331" s="207">
        <v>0</v>
      </c>
      <c r="D331" s="207">
        <v>0</v>
      </c>
      <c r="E331" s="207">
        <v>0</v>
      </c>
      <c r="F331" s="207">
        <v>0</v>
      </c>
      <c r="G331" s="207">
        <v>0</v>
      </c>
      <c r="H331" s="10">
        <f t="shared" si="4"/>
        <v>0</v>
      </c>
      <c r="I331" s="10"/>
      <c r="J331" s="12"/>
      <c r="K331" s="11"/>
      <c r="L331" s="11"/>
      <c r="M331" s="11"/>
    </row>
    <row r="332" spans="1:13" x14ac:dyDescent="0.2">
      <c r="A332" s="130">
        <v>21211</v>
      </c>
      <c r="B332" s="23" t="s">
        <v>311</v>
      </c>
      <c r="C332" s="207">
        <v>0</v>
      </c>
      <c r="D332" s="207">
        <v>0</v>
      </c>
      <c r="E332" s="207">
        <v>0</v>
      </c>
      <c r="F332" s="207">
        <v>0</v>
      </c>
      <c r="G332" s="207">
        <v>0</v>
      </c>
      <c r="H332" s="10">
        <f t="shared" si="4"/>
        <v>0</v>
      </c>
      <c r="I332" s="10"/>
      <c r="J332" s="12"/>
      <c r="K332" s="11"/>
      <c r="L332" s="11"/>
      <c r="M332" s="11"/>
    </row>
    <row r="333" spans="1:13" x14ac:dyDescent="0.2">
      <c r="A333" s="130">
        <v>21212</v>
      </c>
      <c r="B333" s="23" t="s">
        <v>312</v>
      </c>
      <c r="C333" s="207">
        <v>0</v>
      </c>
      <c r="D333" s="207">
        <v>0</v>
      </c>
      <c r="E333" s="207">
        <v>0</v>
      </c>
      <c r="F333" s="207">
        <v>0</v>
      </c>
      <c r="G333" s="207">
        <v>0</v>
      </c>
      <c r="H333" s="10">
        <f t="shared" si="4"/>
        <v>0</v>
      </c>
      <c r="I333" s="10"/>
      <c r="J333" s="12"/>
      <c r="K333" s="11"/>
      <c r="L333" s="11"/>
      <c r="M333" s="11"/>
    </row>
    <row r="334" spans="1:13" x14ac:dyDescent="0.2">
      <c r="A334" s="130">
        <v>21219</v>
      </c>
      <c r="B334" s="23" t="s">
        <v>313</v>
      </c>
      <c r="C334" s="207">
        <v>0</v>
      </c>
      <c r="D334" s="207">
        <v>0</v>
      </c>
      <c r="E334" s="207">
        <v>0</v>
      </c>
      <c r="F334" s="207">
        <v>0</v>
      </c>
      <c r="G334" s="207">
        <v>0</v>
      </c>
      <c r="H334" s="10">
        <f t="shared" si="4"/>
        <v>0</v>
      </c>
      <c r="I334" s="10"/>
      <c r="J334" s="12"/>
      <c r="K334" s="11"/>
      <c r="L334" s="11"/>
      <c r="M334" s="11"/>
    </row>
    <row r="335" spans="1:13" x14ac:dyDescent="0.2">
      <c r="A335" s="130">
        <v>21221</v>
      </c>
      <c r="B335" s="23" t="s">
        <v>314</v>
      </c>
      <c r="C335" s="207">
        <v>0</v>
      </c>
      <c r="D335" s="207">
        <v>0</v>
      </c>
      <c r="E335" s="207">
        <v>0</v>
      </c>
      <c r="F335" s="207">
        <v>0</v>
      </c>
      <c r="G335" s="207">
        <v>0</v>
      </c>
      <c r="H335" s="10">
        <f t="shared" si="4"/>
        <v>0</v>
      </c>
      <c r="I335" s="10"/>
      <c r="J335" s="12"/>
      <c r="K335" s="11"/>
      <c r="L335" s="11"/>
      <c r="M335" s="11"/>
    </row>
    <row r="336" spans="1:13" x14ac:dyDescent="0.2">
      <c r="A336" s="130">
        <v>21222</v>
      </c>
      <c r="B336" s="23" t="s">
        <v>315</v>
      </c>
      <c r="C336" s="207">
        <v>0</v>
      </c>
      <c r="D336" s="207">
        <v>0</v>
      </c>
      <c r="E336" s="207">
        <v>0</v>
      </c>
      <c r="F336" s="207">
        <v>0</v>
      </c>
      <c r="G336" s="207">
        <v>0</v>
      </c>
      <c r="H336" s="10">
        <f t="shared" si="4"/>
        <v>0</v>
      </c>
      <c r="I336" s="10"/>
      <c r="J336" s="12"/>
      <c r="K336" s="11"/>
      <c r="L336" s="11"/>
      <c r="M336" s="11"/>
    </row>
    <row r="337" spans="1:13" x14ac:dyDescent="0.2">
      <c r="A337" s="130">
        <v>21291</v>
      </c>
      <c r="B337" s="23" t="s">
        <v>316</v>
      </c>
      <c r="C337" s="207">
        <v>-5166414.04</v>
      </c>
      <c r="D337" s="207">
        <v>-3328850.88</v>
      </c>
      <c r="E337" s="207">
        <v>-3328850.88</v>
      </c>
      <c r="F337" s="207">
        <v>1825218904.9100001</v>
      </c>
      <c r="G337" s="207">
        <v>1821890054.03</v>
      </c>
      <c r="H337" s="10">
        <f t="shared" si="4"/>
        <v>0</v>
      </c>
      <c r="I337" s="10"/>
      <c r="J337" s="12"/>
      <c r="K337" s="11"/>
      <c r="L337" s="11"/>
      <c r="M337" s="11"/>
    </row>
    <row r="338" spans="1:13" x14ac:dyDescent="0.2">
      <c r="A338" s="130">
        <v>21311</v>
      </c>
      <c r="B338" s="23" t="s">
        <v>317</v>
      </c>
      <c r="C338" s="207">
        <v>0</v>
      </c>
      <c r="D338" s="207">
        <v>0</v>
      </c>
      <c r="E338" s="207">
        <v>0</v>
      </c>
      <c r="F338" s="207">
        <v>0</v>
      </c>
      <c r="G338" s="207">
        <v>0</v>
      </c>
      <c r="H338" s="10">
        <f t="shared" si="4"/>
        <v>0</v>
      </c>
      <c r="I338" s="10"/>
      <c r="J338" s="12"/>
      <c r="K338" s="11"/>
      <c r="L338" s="11"/>
      <c r="M338" s="11"/>
    </row>
    <row r="339" spans="1:13" x14ac:dyDescent="0.2">
      <c r="A339" s="130">
        <v>21312</v>
      </c>
      <c r="B339" s="23" t="s">
        <v>318</v>
      </c>
      <c r="C339" s="207">
        <v>0</v>
      </c>
      <c r="D339" s="207">
        <v>0</v>
      </c>
      <c r="E339" s="207">
        <v>0</v>
      </c>
      <c r="F339" s="207">
        <v>0</v>
      </c>
      <c r="G339" s="207">
        <v>0</v>
      </c>
      <c r="H339" s="10">
        <f t="shared" ref="H339:H403" si="5">ROUND(E339+F339-G339,2)</f>
        <v>0</v>
      </c>
      <c r="I339" s="10"/>
      <c r="J339" s="12"/>
      <c r="K339" s="11"/>
      <c r="L339" s="11"/>
      <c r="M339" s="11"/>
    </row>
    <row r="340" spans="1:13" x14ac:dyDescent="0.2">
      <c r="A340" s="130">
        <v>21321</v>
      </c>
      <c r="B340" s="23" t="s">
        <v>319</v>
      </c>
      <c r="C340" s="207">
        <v>0</v>
      </c>
      <c r="D340" s="207">
        <v>0</v>
      </c>
      <c r="E340" s="207">
        <v>0</v>
      </c>
      <c r="F340" s="207">
        <v>0</v>
      </c>
      <c r="G340" s="207">
        <v>0</v>
      </c>
      <c r="H340" s="10">
        <f t="shared" si="5"/>
        <v>0</v>
      </c>
      <c r="I340" s="10"/>
      <c r="J340" s="12"/>
      <c r="K340" s="11"/>
      <c r="L340" s="11"/>
      <c r="M340" s="11"/>
    </row>
    <row r="341" spans="1:13" x14ac:dyDescent="0.2">
      <c r="A341" s="130">
        <v>21322</v>
      </c>
      <c r="B341" s="23" t="s">
        <v>320</v>
      </c>
      <c r="C341" s="207">
        <v>0</v>
      </c>
      <c r="D341" s="207">
        <v>0</v>
      </c>
      <c r="E341" s="207">
        <v>0</v>
      </c>
      <c r="F341" s="207">
        <v>0</v>
      </c>
      <c r="G341" s="207">
        <v>0</v>
      </c>
      <c r="H341" s="10">
        <f t="shared" si="5"/>
        <v>0</v>
      </c>
      <c r="I341" s="10"/>
      <c r="J341" s="12"/>
      <c r="K341" s="11"/>
      <c r="L341" s="11"/>
      <c r="M341" s="11"/>
    </row>
    <row r="342" spans="1:13" x14ac:dyDescent="0.2">
      <c r="A342" s="130">
        <v>21331</v>
      </c>
      <c r="B342" s="23" t="s">
        <v>321</v>
      </c>
      <c r="C342" s="207">
        <v>0</v>
      </c>
      <c r="D342" s="207">
        <v>0</v>
      </c>
      <c r="E342" s="207">
        <v>0</v>
      </c>
      <c r="F342" s="207">
        <v>0</v>
      </c>
      <c r="G342" s="207">
        <v>0</v>
      </c>
      <c r="H342" s="10">
        <f t="shared" si="5"/>
        <v>0</v>
      </c>
      <c r="I342" s="10"/>
      <c r="J342" s="12"/>
      <c r="K342" s="11"/>
      <c r="L342" s="11"/>
      <c r="M342" s="11"/>
    </row>
    <row r="343" spans="1:13" x14ac:dyDescent="0.2">
      <c r="A343" s="130">
        <v>21332</v>
      </c>
      <c r="B343" s="23" t="s">
        <v>322</v>
      </c>
      <c r="C343" s="207">
        <v>0</v>
      </c>
      <c r="D343" s="207">
        <v>0</v>
      </c>
      <c r="E343" s="207">
        <v>0</v>
      </c>
      <c r="F343" s="207">
        <v>0</v>
      </c>
      <c r="G343" s="207">
        <v>0</v>
      </c>
      <c r="H343" s="10">
        <f t="shared" si="5"/>
        <v>0</v>
      </c>
      <c r="I343" s="10"/>
      <c r="J343" s="12"/>
      <c r="K343" s="11"/>
      <c r="L343" s="11"/>
      <c r="M343" s="11"/>
    </row>
    <row r="344" spans="1:13" x14ac:dyDescent="0.2">
      <c r="A344" s="130">
        <v>21411</v>
      </c>
      <c r="B344" s="23" t="s">
        <v>323</v>
      </c>
      <c r="C344" s="207">
        <v>0</v>
      </c>
      <c r="D344" s="207">
        <v>0</v>
      </c>
      <c r="E344" s="207">
        <v>0</v>
      </c>
      <c r="F344" s="207">
        <v>0</v>
      </c>
      <c r="G344" s="207">
        <v>0</v>
      </c>
      <c r="H344" s="10">
        <f t="shared" si="5"/>
        <v>0</v>
      </c>
      <c r="I344" s="10"/>
      <c r="J344" s="12"/>
      <c r="K344" s="11"/>
      <c r="L344" s="11"/>
      <c r="M344" s="11"/>
    </row>
    <row r="345" spans="1:13" x14ac:dyDescent="0.2">
      <c r="A345" s="130">
        <v>21421</v>
      </c>
      <c r="B345" s="23" t="s">
        <v>324</v>
      </c>
      <c r="C345" s="207">
        <v>0</v>
      </c>
      <c r="D345" s="207">
        <v>0</v>
      </c>
      <c r="E345" s="207">
        <v>0</v>
      </c>
      <c r="F345" s="207">
        <v>0</v>
      </c>
      <c r="G345" s="207">
        <v>0</v>
      </c>
      <c r="H345" s="10">
        <f t="shared" si="5"/>
        <v>0</v>
      </c>
      <c r="I345" s="10"/>
      <c r="J345" s="12"/>
      <c r="K345" s="11"/>
      <c r="L345" s="11"/>
      <c r="M345" s="11"/>
    </row>
    <row r="346" spans="1:13" x14ac:dyDescent="0.2">
      <c r="A346" s="130">
        <v>21511</v>
      </c>
      <c r="B346" s="23" t="s">
        <v>325</v>
      </c>
      <c r="C346" s="207">
        <v>0</v>
      </c>
      <c r="D346" s="207">
        <v>0</v>
      </c>
      <c r="E346" s="207">
        <v>0</v>
      </c>
      <c r="F346" s="207">
        <v>0</v>
      </c>
      <c r="G346" s="207">
        <v>0</v>
      </c>
      <c r="H346" s="10">
        <f t="shared" si="5"/>
        <v>0</v>
      </c>
      <c r="I346" s="10"/>
      <c r="J346" s="12"/>
      <c r="K346" s="11"/>
      <c r="L346" s="11"/>
      <c r="M346" s="11"/>
    </row>
    <row r="347" spans="1:13" x14ac:dyDescent="0.2">
      <c r="A347" s="130">
        <v>21521</v>
      </c>
      <c r="B347" s="23" t="s">
        <v>326</v>
      </c>
      <c r="C347" s="207">
        <v>0</v>
      </c>
      <c r="D347" s="207">
        <v>0</v>
      </c>
      <c r="E347" s="207">
        <v>0</v>
      </c>
      <c r="F347" s="207">
        <v>0</v>
      </c>
      <c r="G347" s="207">
        <v>0</v>
      </c>
      <c r="H347" s="10">
        <f t="shared" si="5"/>
        <v>0</v>
      </c>
      <c r="I347" s="10"/>
      <c r="J347" s="12"/>
      <c r="K347" s="11"/>
      <c r="L347" s="11"/>
      <c r="M347" s="11"/>
    </row>
    <row r="348" spans="1:13" x14ac:dyDescent="0.2">
      <c r="A348" s="130">
        <v>21591</v>
      </c>
      <c r="B348" s="23" t="s">
        <v>327</v>
      </c>
      <c r="C348" s="207">
        <v>0</v>
      </c>
      <c r="D348" s="207">
        <v>0</v>
      </c>
      <c r="E348" s="207">
        <v>0</v>
      </c>
      <c r="F348" s="207">
        <v>0</v>
      </c>
      <c r="G348" s="207">
        <v>0</v>
      </c>
      <c r="H348" s="10">
        <f t="shared" si="5"/>
        <v>0</v>
      </c>
      <c r="I348" s="10"/>
      <c r="J348" s="12"/>
      <c r="K348" s="11"/>
      <c r="L348" s="11"/>
      <c r="M348" s="11"/>
    </row>
    <row r="349" spans="1:13" x14ac:dyDescent="0.2">
      <c r="A349" s="130">
        <v>21611</v>
      </c>
      <c r="B349" s="23" t="s">
        <v>328</v>
      </c>
      <c r="C349" s="207">
        <v>0</v>
      </c>
      <c r="D349" s="207">
        <v>0</v>
      </c>
      <c r="E349" s="207">
        <v>0</v>
      </c>
      <c r="F349" s="207">
        <v>0</v>
      </c>
      <c r="G349" s="207">
        <v>0</v>
      </c>
      <c r="H349" s="10">
        <f t="shared" si="5"/>
        <v>0</v>
      </c>
      <c r="I349" s="10"/>
      <c r="J349" s="12"/>
      <c r="K349" s="11"/>
      <c r="L349" s="11"/>
      <c r="M349" s="11"/>
    </row>
    <row r="350" spans="1:13" x14ac:dyDescent="0.2">
      <c r="A350" s="130">
        <v>21621</v>
      </c>
      <c r="B350" s="23" t="s">
        <v>329</v>
      </c>
      <c r="C350" s="207">
        <v>0</v>
      </c>
      <c r="D350" s="207">
        <v>0</v>
      </c>
      <c r="E350" s="207">
        <v>0</v>
      </c>
      <c r="F350" s="207">
        <v>0</v>
      </c>
      <c r="G350" s="207">
        <v>0</v>
      </c>
      <c r="H350" s="10">
        <f t="shared" si="5"/>
        <v>0</v>
      </c>
      <c r="I350" s="10"/>
      <c r="J350" s="12"/>
      <c r="K350" s="11"/>
      <c r="L350" s="11"/>
      <c r="M350" s="11"/>
    </row>
    <row r="351" spans="1:13" x14ac:dyDescent="0.2">
      <c r="A351" s="130">
        <v>21631</v>
      </c>
      <c r="B351" s="23" t="s">
        <v>330</v>
      </c>
      <c r="C351" s="207">
        <v>0</v>
      </c>
      <c r="D351" s="207">
        <v>0</v>
      </c>
      <c r="E351" s="207">
        <v>0</v>
      </c>
      <c r="F351" s="207">
        <v>0</v>
      </c>
      <c r="G351" s="207">
        <v>0</v>
      </c>
      <c r="H351" s="10">
        <f t="shared" si="5"/>
        <v>0</v>
      </c>
      <c r="I351" s="10"/>
      <c r="J351" s="12"/>
      <c r="K351" s="11"/>
      <c r="L351" s="11"/>
      <c r="M351" s="11"/>
    </row>
    <row r="352" spans="1:13" x14ac:dyDescent="0.2">
      <c r="A352" s="130">
        <v>21641</v>
      </c>
      <c r="B352" s="23" t="s">
        <v>331</v>
      </c>
      <c r="C352" s="207">
        <v>0</v>
      </c>
      <c r="D352" s="207">
        <v>0</v>
      </c>
      <c r="E352" s="207">
        <v>0</v>
      </c>
      <c r="F352" s="207">
        <v>0</v>
      </c>
      <c r="G352" s="207">
        <v>0</v>
      </c>
      <c r="H352" s="10">
        <f t="shared" si="5"/>
        <v>0</v>
      </c>
      <c r="I352" s="10"/>
      <c r="J352" s="12"/>
      <c r="K352" s="11"/>
      <c r="L352" s="11"/>
      <c r="M352" s="11"/>
    </row>
    <row r="353" spans="1:13" x14ac:dyDescent="0.2">
      <c r="A353" s="130">
        <v>21651</v>
      </c>
      <c r="B353" s="23" t="s">
        <v>332</v>
      </c>
      <c r="C353" s="207">
        <v>0</v>
      </c>
      <c r="D353" s="207">
        <v>0</v>
      </c>
      <c r="E353" s="207">
        <v>0</v>
      </c>
      <c r="F353" s="207">
        <v>0</v>
      </c>
      <c r="G353" s="207">
        <v>0</v>
      </c>
      <c r="H353" s="10">
        <f t="shared" si="5"/>
        <v>0</v>
      </c>
      <c r="I353" s="10"/>
      <c r="J353" s="12"/>
      <c r="K353" s="11"/>
      <c r="L353" s="11"/>
      <c r="M353" s="11"/>
    </row>
    <row r="354" spans="1:13" x14ac:dyDescent="0.2">
      <c r="A354" s="130">
        <v>21661</v>
      </c>
      <c r="B354" s="23" t="s">
        <v>333</v>
      </c>
      <c r="C354" s="207">
        <v>0</v>
      </c>
      <c r="D354" s="207">
        <v>0</v>
      </c>
      <c r="E354" s="207">
        <v>0</v>
      </c>
      <c r="F354" s="207">
        <v>0</v>
      </c>
      <c r="G354" s="207">
        <v>0</v>
      </c>
      <c r="H354" s="10">
        <f t="shared" si="5"/>
        <v>0</v>
      </c>
      <c r="I354" s="10"/>
      <c r="J354" s="12"/>
      <c r="K354" s="11"/>
      <c r="L354" s="11"/>
      <c r="M354" s="11"/>
    </row>
    <row r="355" spans="1:13" x14ac:dyDescent="0.2">
      <c r="A355" s="130">
        <v>21662</v>
      </c>
      <c r="B355" s="23" t="s">
        <v>334</v>
      </c>
      <c r="C355" s="207">
        <v>0</v>
      </c>
      <c r="D355" s="207">
        <v>0</v>
      </c>
      <c r="E355" s="207">
        <v>0</v>
      </c>
      <c r="F355" s="207">
        <v>0</v>
      </c>
      <c r="G355" s="207">
        <v>0</v>
      </c>
      <c r="H355" s="10">
        <f t="shared" si="5"/>
        <v>0</v>
      </c>
      <c r="I355" s="10"/>
      <c r="J355" s="12"/>
      <c r="K355" s="11"/>
      <c r="L355" s="11"/>
      <c r="M355" s="11"/>
    </row>
    <row r="356" spans="1:13" x14ac:dyDescent="0.2">
      <c r="A356" s="130">
        <v>21711</v>
      </c>
      <c r="B356" s="23" t="s">
        <v>335</v>
      </c>
      <c r="C356" s="207">
        <v>0</v>
      </c>
      <c r="D356" s="207">
        <v>0</v>
      </c>
      <c r="E356" s="207">
        <v>0</v>
      </c>
      <c r="F356" s="207">
        <v>0</v>
      </c>
      <c r="G356" s="207">
        <v>0</v>
      </c>
      <c r="H356" s="10">
        <f t="shared" si="5"/>
        <v>0</v>
      </c>
      <c r="I356" s="10"/>
      <c r="J356" s="12"/>
      <c r="K356" s="11"/>
      <c r="L356" s="11"/>
      <c r="M356" s="11"/>
    </row>
    <row r="357" spans="1:13" x14ac:dyDescent="0.2">
      <c r="A357" s="130">
        <v>21721</v>
      </c>
      <c r="B357" s="23" t="s">
        <v>336</v>
      </c>
      <c r="C357" s="207">
        <v>0</v>
      </c>
      <c r="D357" s="207">
        <v>0</v>
      </c>
      <c r="E357" s="207">
        <v>0</v>
      </c>
      <c r="F357" s="207">
        <v>0</v>
      </c>
      <c r="G357" s="207">
        <v>0</v>
      </c>
      <c r="H357" s="10">
        <f t="shared" si="5"/>
        <v>0</v>
      </c>
      <c r="I357" s="10"/>
      <c r="J357" s="12"/>
      <c r="K357" s="11"/>
      <c r="L357" s="11"/>
      <c r="M357" s="11"/>
    </row>
    <row r="358" spans="1:13" x14ac:dyDescent="0.2">
      <c r="A358" s="130">
        <v>21791</v>
      </c>
      <c r="B358" s="23" t="s">
        <v>337</v>
      </c>
      <c r="C358" s="207">
        <v>0</v>
      </c>
      <c r="D358" s="207">
        <v>0</v>
      </c>
      <c r="E358" s="207">
        <v>0</v>
      </c>
      <c r="F358" s="207">
        <v>0</v>
      </c>
      <c r="G358" s="207">
        <v>0</v>
      </c>
      <c r="H358" s="10">
        <f t="shared" si="5"/>
        <v>0</v>
      </c>
      <c r="I358" s="10"/>
      <c r="J358" s="12"/>
      <c r="K358" s="11"/>
      <c r="L358" s="11"/>
      <c r="M358" s="11"/>
    </row>
    <row r="359" spans="1:13" x14ac:dyDescent="0.2">
      <c r="A359" s="130">
        <v>21911</v>
      </c>
      <c r="B359" s="23" t="s">
        <v>338</v>
      </c>
      <c r="C359" s="207">
        <v>0</v>
      </c>
      <c r="D359" s="207">
        <v>0</v>
      </c>
      <c r="E359" s="207">
        <v>0</v>
      </c>
      <c r="F359" s="207">
        <v>0</v>
      </c>
      <c r="G359" s="207">
        <v>0</v>
      </c>
      <c r="H359" s="10">
        <f t="shared" si="5"/>
        <v>0</v>
      </c>
      <c r="I359" s="10"/>
      <c r="J359" s="12"/>
      <c r="K359" s="11"/>
      <c r="L359" s="11"/>
      <c r="M359" s="11"/>
    </row>
    <row r="360" spans="1:13" x14ac:dyDescent="0.2">
      <c r="A360" s="130">
        <v>21921</v>
      </c>
      <c r="B360" s="23" t="s">
        <v>339</v>
      </c>
      <c r="C360" s="207">
        <v>0</v>
      </c>
      <c r="D360" s="207">
        <v>0</v>
      </c>
      <c r="E360" s="207">
        <v>0</v>
      </c>
      <c r="F360" s="207">
        <v>0</v>
      </c>
      <c r="G360" s="207">
        <v>0</v>
      </c>
      <c r="H360" s="10">
        <f t="shared" si="5"/>
        <v>0</v>
      </c>
      <c r="I360" s="10"/>
      <c r="J360" s="12"/>
      <c r="K360" s="11"/>
      <c r="L360" s="11"/>
      <c r="M360" s="11"/>
    </row>
    <row r="361" spans="1:13" x14ac:dyDescent="0.2">
      <c r="A361" s="130">
        <v>21991</v>
      </c>
      <c r="B361" s="23" t="s">
        <v>340</v>
      </c>
      <c r="C361" s="207">
        <v>0</v>
      </c>
      <c r="D361" s="207">
        <v>0</v>
      </c>
      <c r="E361" s="207">
        <v>0</v>
      </c>
      <c r="F361" s="207">
        <v>0</v>
      </c>
      <c r="G361" s="207">
        <v>0</v>
      </c>
      <c r="H361" s="10">
        <f t="shared" si="5"/>
        <v>0</v>
      </c>
      <c r="I361" s="10"/>
      <c r="J361" s="12"/>
      <c r="K361" s="11"/>
      <c r="L361" s="11"/>
      <c r="M361" s="11"/>
    </row>
    <row r="362" spans="1:13" x14ac:dyDescent="0.2">
      <c r="A362" s="130">
        <v>22111</v>
      </c>
      <c r="B362" s="23" t="s">
        <v>341</v>
      </c>
      <c r="C362" s="207">
        <v>0</v>
      </c>
      <c r="D362" s="207">
        <v>0</v>
      </c>
      <c r="E362" s="207">
        <v>0</v>
      </c>
      <c r="F362" s="207">
        <v>0</v>
      </c>
      <c r="G362" s="207">
        <v>0</v>
      </c>
      <c r="H362" s="10">
        <f t="shared" si="5"/>
        <v>0</v>
      </c>
      <c r="I362" s="10"/>
      <c r="J362" s="12"/>
      <c r="K362" s="11"/>
      <c r="L362" s="11"/>
      <c r="M362" s="11"/>
    </row>
    <row r="363" spans="1:13" x14ac:dyDescent="0.2">
      <c r="A363" s="130">
        <v>22112</v>
      </c>
      <c r="B363" s="23" t="s">
        <v>342</v>
      </c>
      <c r="C363" s="207">
        <v>0</v>
      </c>
      <c r="D363" s="207">
        <v>0</v>
      </c>
      <c r="E363" s="207">
        <v>0</v>
      </c>
      <c r="F363" s="207">
        <v>0</v>
      </c>
      <c r="G363" s="207">
        <v>0</v>
      </c>
      <c r="H363" s="10">
        <f t="shared" si="5"/>
        <v>0</v>
      </c>
      <c r="I363" s="10"/>
      <c r="J363" s="12"/>
      <c r="K363" s="11"/>
      <c r="L363" s="11"/>
      <c r="M363" s="11"/>
    </row>
    <row r="364" spans="1:13" x14ac:dyDescent="0.2">
      <c r="A364" s="130">
        <v>22119</v>
      </c>
      <c r="B364" s="23" t="s">
        <v>343</v>
      </c>
      <c r="C364" s="207">
        <v>0</v>
      </c>
      <c r="D364" s="207">
        <v>0</v>
      </c>
      <c r="E364" s="207">
        <v>0</v>
      </c>
      <c r="F364" s="207">
        <v>0</v>
      </c>
      <c r="G364" s="207">
        <v>0</v>
      </c>
      <c r="H364" s="10">
        <f t="shared" si="5"/>
        <v>0</v>
      </c>
      <c r="I364" s="10"/>
      <c r="J364" s="12"/>
      <c r="K364" s="11"/>
      <c r="L364" s="11"/>
      <c r="M364" s="11"/>
    </row>
    <row r="365" spans="1:13" x14ac:dyDescent="0.2">
      <c r="A365" s="130">
        <v>22121</v>
      </c>
      <c r="B365" s="23" t="s">
        <v>344</v>
      </c>
      <c r="C365" s="207">
        <v>0</v>
      </c>
      <c r="D365" s="207">
        <v>0</v>
      </c>
      <c r="E365" s="207">
        <v>0</v>
      </c>
      <c r="F365" s="207">
        <v>0</v>
      </c>
      <c r="G365" s="207">
        <v>0</v>
      </c>
      <c r="H365" s="10">
        <f t="shared" si="5"/>
        <v>0</v>
      </c>
      <c r="I365" s="10"/>
      <c r="J365" s="12"/>
      <c r="K365" s="11"/>
      <c r="L365" s="11"/>
      <c r="M365" s="11"/>
    </row>
    <row r="366" spans="1:13" x14ac:dyDescent="0.2">
      <c r="A366" s="130">
        <v>22122</v>
      </c>
      <c r="B366" s="23" t="s">
        <v>345</v>
      </c>
      <c r="C366" s="207">
        <v>0</v>
      </c>
      <c r="D366" s="207">
        <v>0</v>
      </c>
      <c r="E366" s="207">
        <v>0</v>
      </c>
      <c r="F366" s="207">
        <v>0</v>
      </c>
      <c r="G366" s="207">
        <v>0</v>
      </c>
      <c r="H366" s="10">
        <f t="shared" si="5"/>
        <v>0</v>
      </c>
      <c r="I366" s="10"/>
      <c r="J366" s="12"/>
      <c r="K366" s="11"/>
      <c r="L366" s="11"/>
      <c r="M366" s="11"/>
    </row>
    <row r="367" spans="1:13" x14ac:dyDescent="0.2">
      <c r="A367" s="130">
        <v>22211</v>
      </c>
      <c r="B367" s="23" t="s">
        <v>346</v>
      </c>
      <c r="C367" s="207">
        <v>0</v>
      </c>
      <c r="D367" s="207">
        <v>0</v>
      </c>
      <c r="E367" s="207">
        <v>0</v>
      </c>
      <c r="F367" s="207">
        <v>0</v>
      </c>
      <c r="G367" s="207">
        <v>0</v>
      </c>
      <c r="H367" s="10">
        <f t="shared" si="5"/>
        <v>0</v>
      </c>
      <c r="I367" s="10"/>
      <c r="J367" s="12"/>
      <c r="K367" s="11"/>
      <c r="L367" s="11"/>
      <c r="M367" s="11"/>
    </row>
    <row r="368" spans="1:13" x14ac:dyDescent="0.2">
      <c r="A368" s="130">
        <v>22212</v>
      </c>
      <c r="B368" s="23" t="s">
        <v>347</v>
      </c>
      <c r="C368" s="207">
        <v>0</v>
      </c>
      <c r="D368" s="207">
        <v>0</v>
      </c>
      <c r="E368" s="207">
        <v>0</v>
      </c>
      <c r="F368" s="207">
        <v>0</v>
      </c>
      <c r="G368" s="207">
        <v>0</v>
      </c>
      <c r="H368" s="10">
        <f t="shared" si="5"/>
        <v>0</v>
      </c>
      <c r="I368" s="10"/>
      <c r="J368" s="12"/>
      <c r="K368" s="11"/>
      <c r="L368" s="11"/>
      <c r="M368" s="11"/>
    </row>
    <row r="369" spans="1:13" x14ac:dyDescent="0.2">
      <c r="A369" s="130">
        <v>22219</v>
      </c>
      <c r="B369" s="23" t="s">
        <v>348</v>
      </c>
      <c r="C369" s="207">
        <v>0</v>
      </c>
      <c r="D369" s="207">
        <v>0</v>
      </c>
      <c r="E369" s="207">
        <v>0</v>
      </c>
      <c r="F369" s="207">
        <v>0</v>
      </c>
      <c r="G369" s="207">
        <v>0</v>
      </c>
      <c r="H369" s="10">
        <f t="shared" si="5"/>
        <v>0</v>
      </c>
      <c r="I369" s="10"/>
      <c r="J369" s="12"/>
      <c r="K369" s="11"/>
      <c r="L369" s="11"/>
      <c r="M369" s="11"/>
    </row>
    <row r="370" spans="1:13" x14ac:dyDescent="0.2">
      <c r="A370" s="130">
        <v>22221</v>
      </c>
      <c r="B370" s="23" t="s">
        <v>349</v>
      </c>
      <c r="C370" s="207">
        <v>0</v>
      </c>
      <c r="D370" s="207">
        <v>0</v>
      </c>
      <c r="E370" s="207">
        <v>0</v>
      </c>
      <c r="F370" s="207">
        <v>0</v>
      </c>
      <c r="G370" s="207">
        <v>0</v>
      </c>
      <c r="H370" s="10">
        <f t="shared" si="5"/>
        <v>0</v>
      </c>
      <c r="I370" s="10"/>
      <c r="J370" s="12"/>
      <c r="K370" s="11"/>
      <c r="L370" s="11"/>
      <c r="M370" s="11"/>
    </row>
    <row r="371" spans="1:13" x14ac:dyDescent="0.2">
      <c r="A371" s="130">
        <v>22222</v>
      </c>
      <c r="B371" s="23" t="s">
        <v>350</v>
      </c>
      <c r="C371" s="207">
        <v>0</v>
      </c>
      <c r="D371" s="207">
        <v>0</v>
      </c>
      <c r="E371" s="207">
        <v>0</v>
      </c>
      <c r="F371" s="207">
        <v>0</v>
      </c>
      <c r="G371" s="207">
        <v>0</v>
      </c>
      <c r="H371" s="10">
        <f t="shared" si="5"/>
        <v>0</v>
      </c>
      <c r="I371" s="10"/>
      <c r="J371" s="12"/>
      <c r="K371" s="11"/>
      <c r="L371" s="11"/>
      <c r="M371" s="11"/>
    </row>
    <row r="372" spans="1:13" x14ac:dyDescent="0.2">
      <c r="A372" s="130">
        <v>22291</v>
      </c>
      <c r="B372" s="23" t="s">
        <v>351</v>
      </c>
      <c r="C372" s="207">
        <v>0</v>
      </c>
      <c r="D372" s="207">
        <v>0</v>
      </c>
      <c r="E372" s="207">
        <v>0</v>
      </c>
      <c r="F372" s="207">
        <v>0</v>
      </c>
      <c r="G372" s="207">
        <v>0</v>
      </c>
      <c r="H372" s="10">
        <f t="shared" si="5"/>
        <v>0</v>
      </c>
      <c r="I372" s="10"/>
      <c r="J372" s="12"/>
      <c r="K372" s="11"/>
      <c r="L372" s="11"/>
      <c r="M372" s="11"/>
    </row>
    <row r="373" spans="1:13" x14ac:dyDescent="0.2">
      <c r="A373" s="130">
        <v>22311</v>
      </c>
      <c r="B373" s="23" t="s">
        <v>352</v>
      </c>
      <c r="C373" s="207">
        <v>0</v>
      </c>
      <c r="D373" s="207">
        <v>0</v>
      </c>
      <c r="E373" s="207">
        <v>0</v>
      </c>
      <c r="F373" s="207">
        <v>0</v>
      </c>
      <c r="G373" s="207">
        <v>0</v>
      </c>
      <c r="H373" s="10">
        <f t="shared" si="5"/>
        <v>0</v>
      </c>
      <c r="I373" s="10"/>
      <c r="J373" s="12"/>
      <c r="K373" s="11"/>
      <c r="L373" s="11"/>
      <c r="M373" s="11"/>
    </row>
    <row r="374" spans="1:13" x14ac:dyDescent="0.2">
      <c r="A374" s="130">
        <v>22321</v>
      </c>
      <c r="B374" s="23" t="s">
        <v>353</v>
      </c>
      <c r="C374" s="207">
        <v>0</v>
      </c>
      <c r="D374" s="207">
        <v>0</v>
      </c>
      <c r="E374" s="207">
        <v>0</v>
      </c>
      <c r="F374" s="207">
        <v>0</v>
      </c>
      <c r="G374" s="207">
        <v>0</v>
      </c>
      <c r="H374" s="10">
        <f t="shared" si="5"/>
        <v>0</v>
      </c>
      <c r="I374" s="10"/>
      <c r="J374" s="12"/>
      <c r="K374" s="11"/>
      <c r="L374" s="11"/>
      <c r="M374" s="11"/>
    </row>
    <row r="375" spans="1:13" x14ac:dyDescent="0.2">
      <c r="A375" s="130">
        <v>22331</v>
      </c>
      <c r="B375" s="23" t="s">
        <v>354</v>
      </c>
      <c r="C375" s="207">
        <v>0</v>
      </c>
      <c r="D375" s="207">
        <v>0</v>
      </c>
      <c r="E375" s="207">
        <v>0</v>
      </c>
      <c r="F375" s="207">
        <v>0</v>
      </c>
      <c r="G375" s="207">
        <v>0</v>
      </c>
      <c r="H375" s="10">
        <f t="shared" si="5"/>
        <v>0</v>
      </c>
      <c r="I375" s="10"/>
      <c r="J375" s="12"/>
      <c r="K375" s="11"/>
      <c r="L375" s="11"/>
      <c r="M375" s="11"/>
    </row>
    <row r="376" spans="1:13" x14ac:dyDescent="0.2">
      <c r="A376" s="130">
        <v>22341</v>
      </c>
      <c r="B376" s="23" t="s">
        <v>355</v>
      </c>
      <c r="C376" s="207">
        <v>0</v>
      </c>
      <c r="D376" s="207">
        <v>0</v>
      </c>
      <c r="E376" s="207">
        <v>0</v>
      </c>
      <c r="F376" s="207">
        <v>0</v>
      </c>
      <c r="G376" s="207">
        <v>0</v>
      </c>
      <c r="H376" s="10">
        <f t="shared" si="5"/>
        <v>0</v>
      </c>
      <c r="I376" s="10"/>
      <c r="J376" s="12"/>
      <c r="K376" s="11"/>
      <c r="L376" s="11"/>
      <c r="M376" s="11"/>
    </row>
    <row r="377" spans="1:13" x14ac:dyDescent="0.2">
      <c r="A377" s="130">
        <v>22351</v>
      </c>
      <c r="B377" s="23" t="s">
        <v>356</v>
      </c>
      <c r="C377" s="207">
        <v>0</v>
      </c>
      <c r="D377" s="207">
        <v>0</v>
      </c>
      <c r="E377" s="207">
        <v>0</v>
      </c>
      <c r="F377" s="207">
        <v>0</v>
      </c>
      <c r="G377" s="207">
        <v>0</v>
      </c>
      <c r="H377" s="10">
        <f t="shared" si="5"/>
        <v>0</v>
      </c>
      <c r="I377" s="10"/>
      <c r="J377" s="12"/>
      <c r="K377" s="11"/>
      <c r="L377" s="11"/>
      <c r="M377" s="11"/>
    </row>
    <row r="378" spans="1:13" x14ac:dyDescent="0.2">
      <c r="A378" s="130">
        <v>22352</v>
      </c>
      <c r="B378" s="23" t="s">
        <v>357</v>
      </c>
      <c r="C378" s="207">
        <v>0</v>
      </c>
      <c r="D378" s="207">
        <v>0</v>
      </c>
      <c r="E378" s="207">
        <v>0</v>
      </c>
      <c r="F378" s="207">
        <v>0</v>
      </c>
      <c r="G378" s="207">
        <v>0</v>
      </c>
      <c r="H378" s="10">
        <f t="shared" si="5"/>
        <v>0</v>
      </c>
      <c r="I378" s="10"/>
      <c r="J378" s="12"/>
      <c r="K378" s="11"/>
      <c r="L378" s="11"/>
      <c r="M378" s="11"/>
    </row>
    <row r="379" spans="1:13" x14ac:dyDescent="0.2">
      <c r="A379" s="130">
        <v>22411</v>
      </c>
      <c r="B379" s="23" t="s">
        <v>358</v>
      </c>
      <c r="C379" s="207">
        <v>0</v>
      </c>
      <c r="D379" s="207">
        <v>0</v>
      </c>
      <c r="E379" s="207">
        <v>0</v>
      </c>
      <c r="F379" s="207">
        <v>0</v>
      </c>
      <c r="G379" s="207">
        <v>0</v>
      </c>
      <c r="H379" s="10">
        <f t="shared" si="5"/>
        <v>0</v>
      </c>
      <c r="I379" s="10"/>
      <c r="J379" s="12"/>
      <c r="K379" s="11"/>
      <c r="L379" s="11"/>
      <c r="M379" s="11"/>
    </row>
    <row r="380" spans="1:13" x14ac:dyDescent="0.2">
      <c r="A380" s="130">
        <v>22421</v>
      </c>
      <c r="B380" s="23" t="s">
        <v>359</v>
      </c>
      <c r="C380" s="207">
        <v>0</v>
      </c>
      <c r="D380" s="207">
        <v>0</v>
      </c>
      <c r="E380" s="207">
        <v>0</v>
      </c>
      <c r="F380" s="207">
        <v>0</v>
      </c>
      <c r="G380" s="207">
        <v>0</v>
      </c>
      <c r="H380" s="10">
        <f t="shared" si="5"/>
        <v>0</v>
      </c>
      <c r="I380" s="10"/>
      <c r="J380" s="12"/>
      <c r="K380" s="11"/>
      <c r="L380" s="11"/>
      <c r="M380" s="11"/>
    </row>
    <row r="381" spans="1:13" x14ac:dyDescent="0.2">
      <c r="A381" s="130">
        <v>22491</v>
      </c>
      <c r="B381" s="23" t="s">
        <v>360</v>
      </c>
      <c r="C381" s="207">
        <v>0</v>
      </c>
      <c r="D381" s="207">
        <v>0</v>
      </c>
      <c r="E381" s="207">
        <v>0</v>
      </c>
      <c r="F381" s="207">
        <v>0</v>
      </c>
      <c r="G381" s="207">
        <v>0</v>
      </c>
      <c r="H381" s="10">
        <f t="shared" si="5"/>
        <v>0</v>
      </c>
      <c r="I381" s="10"/>
      <c r="J381" s="12"/>
      <c r="K381" s="11"/>
      <c r="L381" s="11"/>
      <c r="M381" s="11"/>
    </row>
    <row r="382" spans="1:13" x14ac:dyDescent="0.2">
      <c r="A382" s="130">
        <v>22511</v>
      </c>
      <c r="B382" s="23" t="s">
        <v>361</v>
      </c>
      <c r="C382" s="207">
        <v>0</v>
      </c>
      <c r="D382" s="207">
        <v>0</v>
      </c>
      <c r="E382" s="207">
        <v>0</v>
      </c>
      <c r="F382" s="207">
        <v>0</v>
      </c>
      <c r="G382" s="207">
        <v>0</v>
      </c>
      <c r="H382" s="10">
        <f t="shared" si="5"/>
        <v>0</v>
      </c>
      <c r="I382" s="10"/>
      <c r="J382" s="12"/>
      <c r="K382" s="11"/>
      <c r="L382" s="11"/>
      <c r="M382" s="11"/>
    </row>
    <row r="383" spans="1:13" x14ac:dyDescent="0.2">
      <c r="A383" s="130">
        <v>22521</v>
      </c>
      <c r="B383" s="23" t="s">
        <v>362</v>
      </c>
      <c r="C383" s="207">
        <v>0</v>
      </c>
      <c r="D383" s="207">
        <v>0</v>
      </c>
      <c r="E383" s="207">
        <v>0</v>
      </c>
      <c r="F383" s="207">
        <v>0</v>
      </c>
      <c r="G383" s="207">
        <v>0</v>
      </c>
      <c r="H383" s="10">
        <f t="shared" si="5"/>
        <v>0</v>
      </c>
      <c r="I383" s="10"/>
      <c r="J383" s="12"/>
      <c r="K383" s="11"/>
      <c r="L383" s="11"/>
      <c r="M383" s="11"/>
    </row>
    <row r="384" spans="1:13" x14ac:dyDescent="0.2">
      <c r="A384" s="130">
        <v>22531</v>
      </c>
      <c r="B384" s="23" t="s">
        <v>363</v>
      </c>
      <c r="C384" s="207">
        <v>0</v>
      </c>
      <c r="D384" s="207">
        <v>0</v>
      </c>
      <c r="E384" s="207">
        <v>0</v>
      </c>
      <c r="F384" s="207">
        <v>0</v>
      </c>
      <c r="G384" s="207">
        <v>0</v>
      </c>
      <c r="H384" s="10">
        <f t="shared" si="5"/>
        <v>0</v>
      </c>
      <c r="I384" s="10"/>
      <c r="J384" s="12"/>
      <c r="K384" s="11"/>
      <c r="L384" s="11"/>
      <c r="M384" s="11"/>
    </row>
    <row r="385" spans="1:13" x14ac:dyDescent="0.2">
      <c r="A385" s="130">
        <v>22541</v>
      </c>
      <c r="B385" s="23" t="s">
        <v>364</v>
      </c>
      <c r="C385" s="207">
        <v>0</v>
      </c>
      <c r="D385" s="207">
        <v>0</v>
      </c>
      <c r="E385" s="207">
        <v>0</v>
      </c>
      <c r="F385" s="207">
        <v>0</v>
      </c>
      <c r="G385" s="207">
        <v>0</v>
      </c>
      <c r="H385" s="10">
        <f t="shared" si="5"/>
        <v>0</v>
      </c>
      <c r="I385" s="10"/>
      <c r="J385" s="12"/>
      <c r="K385" s="11"/>
      <c r="L385" s="11"/>
      <c r="M385" s="11"/>
    </row>
    <row r="386" spans="1:13" x14ac:dyDescent="0.2">
      <c r="A386" s="130">
        <v>22551</v>
      </c>
      <c r="B386" s="23" t="s">
        <v>365</v>
      </c>
      <c r="C386" s="207">
        <v>0</v>
      </c>
      <c r="D386" s="207">
        <v>0</v>
      </c>
      <c r="E386" s="207">
        <v>0</v>
      </c>
      <c r="F386" s="207">
        <v>0</v>
      </c>
      <c r="G386" s="207">
        <v>0</v>
      </c>
      <c r="H386" s="10">
        <f t="shared" si="5"/>
        <v>0</v>
      </c>
      <c r="I386" s="10"/>
      <c r="J386" s="12"/>
      <c r="K386" s="11"/>
      <c r="L386" s="11"/>
      <c r="M386" s="11"/>
    </row>
    <row r="387" spans="1:13" x14ac:dyDescent="0.2">
      <c r="A387" s="130">
        <v>22561</v>
      </c>
      <c r="B387" s="23" t="s">
        <v>366</v>
      </c>
      <c r="C387" s="207">
        <v>0</v>
      </c>
      <c r="D387" s="207">
        <v>0</v>
      </c>
      <c r="E387" s="207">
        <v>0</v>
      </c>
      <c r="F387" s="207">
        <v>0</v>
      </c>
      <c r="G387" s="207">
        <v>0</v>
      </c>
      <c r="H387" s="10">
        <f t="shared" si="5"/>
        <v>0</v>
      </c>
      <c r="I387" s="10"/>
      <c r="J387" s="12"/>
      <c r="K387" s="11"/>
      <c r="L387" s="11"/>
      <c r="M387" s="11"/>
    </row>
    <row r="388" spans="1:13" x14ac:dyDescent="0.2">
      <c r="A388" s="130">
        <v>22562</v>
      </c>
      <c r="B388" s="23" t="s">
        <v>367</v>
      </c>
      <c r="C388" s="207">
        <v>0</v>
      </c>
      <c r="D388" s="207">
        <v>0</v>
      </c>
      <c r="E388" s="207">
        <v>0</v>
      </c>
      <c r="F388" s="207">
        <v>0</v>
      </c>
      <c r="G388" s="207">
        <v>0</v>
      </c>
      <c r="H388" s="10">
        <f t="shared" si="5"/>
        <v>0</v>
      </c>
      <c r="I388" s="10"/>
      <c r="J388" s="12"/>
      <c r="K388" s="11"/>
      <c r="L388" s="11"/>
      <c r="M388" s="11"/>
    </row>
    <row r="389" spans="1:13" x14ac:dyDescent="0.2">
      <c r="A389" s="130">
        <v>22611</v>
      </c>
      <c r="B389" s="23" t="s">
        <v>368</v>
      </c>
      <c r="C389" s="207">
        <v>0</v>
      </c>
      <c r="D389" s="207">
        <v>0</v>
      </c>
      <c r="E389" s="207">
        <v>0</v>
      </c>
      <c r="F389" s="207">
        <v>0</v>
      </c>
      <c r="G389" s="207">
        <v>0</v>
      </c>
      <c r="H389" s="10">
        <f t="shared" si="5"/>
        <v>0</v>
      </c>
      <c r="I389" s="10"/>
      <c r="J389" s="12"/>
      <c r="K389" s="11"/>
      <c r="L389" s="11"/>
      <c r="M389" s="11"/>
    </row>
    <row r="390" spans="1:13" x14ac:dyDescent="0.2">
      <c r="A390" s="130">
        <v>22621</v>
      </c>
      <c r="B390" s="23" t="s">
        <v>369</v>
      </c>
      <c r="C390" s="207">
        <v>0</v>
      </c>
      <c r="D390" s="207">
        <v>0</v>
      </c>
      <c r="E390" s="207">
        <v>0</v>
      </c>
      <c r="F390" s="207">
        <v>0</v>
      </c>
      <c r="G390" s="207">
        <v>0</v>
      </c>
      <c r="H390" s="10">
        <f t="shared" si="5"/>
        <v>0</v>
      </c>
      <c r="I390" s="10"/>
      <c r="J390" s="12"/>
      <c r="K390" s="11"/>
      <c r="L390" s="11"/>
      <c r="M390" s="11"/>
    </row>
    <row r="391" spans="1:13" x14ac:dyDescent="0.2">
      <c r="A391" s="130">
        <v>22631</v>
      </c>
      <c r="B391" s="23" t="s">
        <v>370</v>
      </c>
      <c r="C391" s="207">
        <v>0</v>
      </c>
      <c r="D391" s="207">
        <v>0</v>
      </c>
      <c r="E391" s="207">
        <v>0</v>
      </c>
      <c r="F391" s="207">
        <v>0</v>
      </c>
      <c r="G391" s="207">
        <v>0</v>
      </c>
      <c r="H391" s="10">
        <f t="shared" si="5"/>
        <v>0</v>
      </c>
      <c r="I391" s="10"/>
      <c r="J391" s="12"/>
      <c r="K391" s="11"/>
      <c r="L391" s="11"/>
      <c r="M391" s="11"/>
    </row>
    <row r="392" spans="1:13" x14ac:dyDescent="0.2">
      <c r="A392" s="130">
        <v>22691</v>
      </c>
      <c r="B392" s="23" t="s">
        <v>371</v>
      </c>
      <c r="C392" s="207">
        <v>0</v>
      </c>
      <c r="D392" s="207">
        <v>0</v>
      </c>
      <c r="E392" s="207">
        <v>0</v>
      </c>
      <c r="F392" s="207">
        <v>0</v>
      </c>
      <c r="G392" s="207">
        <v>0</v>
      </c>
      <c r="H392" s="10">
        <f t="shared" si="5"/>
        <v>0</v>
      </c>
      <c r="I392" s="10"/>
      <c r="J392" s="12"/>
      <c r="K392" s="11"/>
      <c r="L392" s="11"/>
      <c r="M392" s="11"/>
    </row>
    <row r="393" spans="1:13" x14ac:dyDescent="0.2">
      <c r="A393" s="130">
        <v>31111</v>
      </c>
      <c r="B393" s="23" t="s">
        <v>372</v>
      </c>
      <c r="C393" s="207">
        <v>0</v>
      </c>
      <c r="D393" s="207">
        <v>0</v>
      </c>
      <c r="E393" s="207">
        <v>0</v>
      </c>
      <c r="F393" s="207">
        <v>0</v>
      </c>
      <c r="G393" s="207">
        <v>0</v>
      </c>
      <c r="H393" s="10">
        <f t="shared" si="5"/>
        <v>0</v>
      </c>
      <c r="I393" s="10"/>
      <c r="J393" s="12"/>
      <c r="K393" s="11"/>
      <c r="L393" s="11"/>
      <c r="M393" s="11"/>
    </row>
    <row r="394" spans="1:13" x14ac:dyDescent="0.2">
      <c r="A394" s="130">
        <v>31121</v>
      </c>
      <c r="B394" s="23" t="s">
        <v>373</v>
      </c>
      <c r="C394" s="207">
        <v>0</v>
      </c>
      <c r="D394" s="207">
        <v>0</v>
      </c>
      <c r="E394" s="207">
        <v>0</v>
      </c>
      <c r="F394" s="207">
        <v>0</v>
      </c>
      <c r="G394" s="207">
        <v>0</v>
      </c>
      <c r="H394" s="10">
        <f t="shared" si="5"/>
        <v>0</v>
      </c>
      <c r="I394" s="10"/>
      <c r="J394" s="12"/>
      <c r="K394" s="11"/>
      <c r="L394" s="11"/>
      <c r="M394" s="11"/>
    </row>
    <row r="395" spans="1:13" x14ac:dyDescent="0.2">
      <c r="A395" s="130">
        <v>31131</v>
      </c>
      <c r="B395" s="23" t="s">
        <v>374</v>
      </c>
      <c r="C395" s="207">
        <v>0</v>
      </c>
      <c r="D395" s="207">
        <v>0</v>
      </c>
      <c r="E395" s="207">
        <v>0</v>
      </c>
      <c r="F395" s="207">
        <v>0</v>
      </c>
      <c r="G395" s="207">
        <v>0</v>
      </c>
      <c r="H395" s="10">
        <f t="shared" si="5"/>
        <v>0</v>
      </c>
      <c r="I395" s="10"/>
      <c r="J395" s="12"/>
      <c r="K395" s="11"/>
      <c r="L395" s="11"/>
      <c r="M395" s="11"/>
    </row>
    <row r="396" spans="1:13" x14ac:dyDescent="0.2">
      <c r="A396" s="130">
        <v>31141</v>
      </c>
      <c r="B396" s="23" t="s">
        <v>375</v>
      </c>
      <c r="C396" s="207">
        <v>0</v>
      </c>
      <c r="D396" s="207">
        <v>0</v>
      </c>
      <c r="E396" s="207">
        <v>0</v>
      </c>
      <c r="F396" s="207">
        <v>0</v>
      </c>
      <c r="G396" s="207">
        <v>0</v>
      </c>
      <c r="H396" s="10">
        <f t="shared" si="5"/>
        <v>0</v>
      </c>
      <c r="I396" s="10"/>
      <c r="J396" s="12"/>
      <c r="K396" s="11"/>
      <c r="L396" s="11"/>
      <c r="M396" s="11"/>
    </row>
    <row r="397" spans="1:13" x14ac:dyDescent="0.2">
      <c r="A397" s="130">
        <v>31151</v>
      </c>
      <c r="B397" s="23" t="s">
        <v>1023</v>
      </c>
      <c r="C397" s="207">
        <v>0</v>
      </c>
      <c r="D397" s="207">
        <v>0</v>
      </c>
      <c r="E397" s="207">
        <v>0</v>
      </c>
      <c r="F397" s="207">
        <v>0</v>
      </c>
      <c r="G397" s="207">
        <v>0</v>
      </c>
      <c r="H397" s="10">
        <f>ROUND(E397+F397-G397,2)</f>
        <v>0</v>
      </c>
      <c r="I397" s="10"/>
      <c r="J397" s="12"/>
      <c r="K397" s="11"/>
      <c r="L397" s="11"/>
      <c r="M397" s="11"/>
    </row>
    <row r="398" spans="1:13" x14ac:dyDescent="0.2">
      <c r="A398" s="130">
        <v>31211</v>
      </c>
      <c r="B398" s="23" t="s">
        <v>372</v>
      </c>
      <c r="C398" s="207">
        <v>0</v>
      </c>
      <c r="D398" s="207">
        <v>0</v>
      </c>
      <c r="E398" s="207">
        <v>0</v>
      </c>
      <c r="F398" s="207">
        <v>0</v>
      </c>
      <c r="G398" s="207">
        <v>0</v>
      </c>
      <c r="H398" s="10">
        <f t="shared" si="5"/>
        <v>0</v>
      </c>
      <c r="I398" s="10"/>
      <c r="J398" s="12"/>
      <c r="K398" s="11"/>
      <c r="L398" s="11"/>
      <c r="M398" s="11"/>
    </row>
    <row r="399" spans="1:13" x14ac:dyDescent="0.2">
      <c r="A399" s="130">
        <v>31221</v>
      </c>
      <c r="B399" s="23" t="s">
        <v>373</v>
      </c>
      <c r="C399" s="207">
        <v>-7038980</v>
      </c>
      <c r="D399" s="207">
        <v>-28138858.09</v>
      </c>
      <c r="E399" s="207">
        <v>-28138858.09</v>
      </c>
      <c r="F399" s="207">
        <v>27929099.829999998</v>
      </c>
      <c r="G399" s="207">
        <v>59412989.689999998</v>
      </c>
      <c r="H399" s="10">
        <f t="shared" si="5"/>
        <v>-59622747.950000003</v>
      </c>
      <c r="I399" s="10"/>
      <c r="J399" s="12"/>
      <c r="K399" s="11"/>
      <c r="L399" s="11"/>
      <c r="M399" s="11"/>
    </row>
    <row r="400" spans="1:13" x14ac:dyDescent="0.2">
      <c r="A400" s="130">
        <v>31231</v>
      </c>
      <c r="B400" s="23" t="s">
        <v>374</v>
      </c>
      <c r="C400" s="207">
        <v>0</v>
      </c>
      <c r="D400" s="207">
        <v>0</v>
      </c>
      <c r="E400" s="207">
        <v>0</v>
      </c>
      <c r="F400" s="207">
        <v>0</v>
      </c>
      <c r="G400" s="207">
        <v>0</v>
      </c>
      <c r="H400" s="10">
        <f>ROUND(E400+F400-G400,2)</f>
        <v>0</v>
      </c>
      <c r="I400" s="10"/>
      <c r="J400" s="12"/>
      <c r="K400" s="11"/>
      <c r="L400" s="11"/>
      <c r="M400" s="11"/>
    </row>
    <row r="401" spans="1:14" x14ac:dyDescent="0.2">
      <c r="A401" s="130">
        <v>31241</v>
      </c>
      <c r="B401" s="23" t="s">
        <v>375</v>
      </c>
      <c r="C401" s="207">
        <v>0</v>
      </c>
      <c r="D401" s="207">
        <v>0</v>
      </c>
      <c r="E401" s="207">
        <v>0</v>
      </c>
      <c r="F401" s="207">
        <v>0</v>
      </c>
      <c r="G401" s="207">
        <v>0</v>
      </c>
      <c r="H401" s="10">
        <f t="shared" si="5"/>
        <v>0</v>
      </c>
      <c r="I401" s="10"/>
      <c r="J401" s="12"/>
      <c r="K401" s="11"/>
      <c r="L401" s="11"/>
      <c r="M401" s="11"/>
    </row>
    <row r="402" spans="1:14" x14ac:dyDescent="0.2">
      <c r="A402" s="130">
        <v>31311</v>
      </c>
      <c r="B402" s="23" t="s">
        <v>372</v>
      </c>
      <c r="C402" s="207">
        <v>0</v>
      </c>
      <c r="D402" s="207">
        <v>0</v>
      </c>
      <c r="E402" s="207">
        <v>0</v>
      </c>
      <c r="F402" s="207">
        <v>0</v>
      </c>
      <c r="G402" s="207">
        <v>0</v>
      </c>
      <c r="H402" s="10">
        <f t="shared" si="5"/>
        <v>0</v>
      </c>
      <c r="I402" s="10"/>
      <c r="J402" s="12"/>
      <c r="K402" s="11"/>
      <c r="L402" s="11"/>
      <c r="M402" s="11"/>
    </row>
    <row r="403" spans="1:14" x14ac:dyDescent="0.2">
      <c r="A403" s="130">
        <v>31321</v>
      </c>
      <c r="B403" s="23" t="s">
        <v>373</v>
      </c>
      <c r="C403" s="207">
        <v>0</v>
      </c>
      <c r="D403" s="207">
        <v>0</v>
      </c>
      <c r="E403" s="207">
        <v>0</v>
      </c>
      <c r="F403" s="207">
        <v>0</v>
      </c>
      <c r="G403" s="207">
        <v>0</v>
      </c>
      <c r="H403" s="10">
        <f t="shared" si="5"/>
        <v>0</v>
      </c>
      <c r="I403" s="10"/>
      <c r="J403" s="12"/>
      <c r="K403" s="11"/>
      <c r="L403" s="11"/>
      <c r="M403" s="11"/>
    </row>
    <row r="404" spans="1:14" x14ac:dyDescent="0.2">
      <c r="A404" s="130">
        <v>31331</v>
      </c>
      <c r="B404" s="23" t="s">
        <v>374</v>
      </c>
      <c r="C404" s="207">
        <v>0</v>
      </c>
      <c r="D404" s="207">
        <v>0</v>
      </c>
      <c r="E404" s="207">
        <v>0</v>
      </c>
      <c r="F404" s="207">
        <v>0</v>
      </c>
      <c r="G404" s="207">
        <v>0</v>
      </c>
      <c r="H404" s="10">
        <f t="shared" ref="H404:H418" si="6">ROUND(E404+F404-G404,2)</f>
        <v>0</v>
      </c>
      <c r="I404" s="10"/>
      <c r="J404" s="12"/>
      <c r="K404" s="11"/>
      <c r="L404" s="11"/>
      <c r="M404" s="11"/>
    </row>
    <row r="405" spans="1:14" x14ac:dyDescent="0.2">
      <c r="A405" s="130">
        <v>31341</v>
      </c>
      <c r="B405" s="23" t="s">
        <v>375</v>
      </c>
      <c r="C405" s="207">
        <v>0</v>
      </c>
      <c r="D405" s="207">
        <v>0</v>
      </c>
      <c r="E405" s="207">
        <v>0</v>
      </c>
      <c r="F405" s="207">
        <v>0</v>
      </c>
      <c r="G405" s="207">
        <v>0</v>
      </c>
      <c r="H405" s="10">
        <f t="shared" si="6"/>
        <v>0</v>
      </c>
      <c r="I405" s="10"/>
      <c r="J405" s="12"/>
      <c r="K405" s="11"/>
      <c r="L405" s="11"/>
      <c r="M405" s="11"/>
    </row>
    <row r="406" spans="1:14" x14ac:dyDescent="0.2">
      <c r="A406" s="130">
        <v>32111</v>
      </c>
      <c r="B406" s="23" t="s">
        <v>376</v>
      </c>
      <c r="C406" s="207">
        <v>0</v>
      </c>
      <c r="D406" s="207">
        <v>0</v>
      </c>
      <c r="E406" s="207">
        <v>0</v>
      </c>
      <c r="F406" s="207">
        <v>0</v>
      </c>
      <c r="G406" s="207">
        <v>0</v>
      </c>
      <c r="H406" s="334">
        <f>ROUND(E406+F406-G406,2)-G406</f>
        <v>0</v>
      </c>
      <c r="I406" s="10"/>
      <c r="J406" s="12"/>
      <c r="K406" s="11"/>
      <c r="L406" s="11"/>
      <c r="M406" s="11"/>
    </row>
    <row r="407" spans="1:14" x14ac:dyDescent="0.2">
      <c r="A407" s="130">
        <v>32211</v>
      </c>
      <c r="B407" s="23" t="s">
        <v>377</v>
      </c>
      <c r="C407" s="207">
        <v>-983884484.63999999</v>
      </c>
      <c r="D407" s="207">
        <v>-936378255.94000006</v>
      </c>
      <c r="E407" s="207">
        <f>-936378255.939999-0.01</f>
        <v>-936378255.94999897</v>
      </c>
      <c r="F407" s="207">
        <v>37542910.789999999</v>
      </c>
      <c r="G407" s="207">
        <v>23177328.59</v>
      </c>
      <c r="H407" s="334">
        <f>ROUND(E407+F407-G407,2)+SUM(E419:E611)</f>
        <v>-837507742.88999987</v>
      </c>
      <c r="I407" s="10"/>
      <c r="J407" s="12"/>
      <c r="K407" s="11"/>
      <c r="L407" s="11"/>
      <c r="M407" s="11"/>
    </row>
    <row r="408" spans="1:14" x14ac:dyDescent="0.2">
      <c r="A408" s="130">
        <v>32311</v>
      </c>
      <c r="B408" s="23" t="s">
        <v>378</v>
      </c>
      <c r="C408" s="207">
        <v>0</v>
      </c>
      <c r="D408" s="207">
        <v>0</v>
      </c>
      <c r="E408" s="207">
        <v>0</v>
      </c>
      <c r="F408" s="207">
        <v>0</v>
      </c>
      <c r="G408" s="207">
        <v>0</v>
      </c>
      <c r="H408" s="10">
        <f>ROUND(E408+F408-G408,2)</f>
        <v>0</v>
      </c>
      <c r="I408" s="10"/>
      <c r="J408" s="12"/>
      <c r="K408" s="11"/>
      <c r="L408" s="11"/>
      <c r="M408" s="11"/>
    </row>
    <row r="409" spans="1:14" x14ac:dyDescent="0.2">
      <c r="A409" s="130">
        <v>32321</v>
      </c>
      <c r="B409" s="23" t="s">
        <v>379</v>
      </c>
      <c r="C409" s="207">
        <v>0</v>
      </c>
      <c r="D409" s="207">
        <v>0</v>
      </c>
      <c r="E409" s="207">
        <v>0</v>
      </c>
      <c r="F409" s="207">
        <v>0</v>
      </c>
      <c r="G409" s="207">
        <v>0</v>
      </c>
      <c r="H409" s="10">
        <f t="shared" si="6"/>
        <v>0</v>
      </c>
      <c r="I409" s="10"/>
      <c r="J409" s="12"/>
      <c r="K409" s="11"/>
      <c r="L409" s="11"/>
      <c r="M409" s="11"/>
    </row>
    <row r="410" spans="1:14" x14ac:dyDescent="0.2">
      <c r="A410" s="130">
        <v>32331</v>
      </c>
      <c r="B410" s="23" t="s">
        <v>380</v>
      </c>
      <c r="C410" s="207">
        <v>0</v>
      </c>
      <c r="D410" s="207">
        <v>0</v>
      </c>
      <c r="E410" s="207">
        <v>0</v>
      </c>
      <c r="F410" s="207">
        <v>0</v>
      </c>
      <c r="G410" s="207">
        <v>0</v>
      </c>
      <c r="H410" s="10">
        <f t="shared" si="6"/>
        <v>0</v>
      </c>
      <c r="I410" s="10"/>
      <c r="J410" s="12"/>
      <c r="K410" s="11"/>
      <c r="L410" s="11"/>
      <c r="M410" s="11"/>
    </row>
    <row r="411" spans="1:14" x14ac:dyDescent="0.2">
      <c r="A411" s="130">
        <v>32391</v>
      </c>
      <c r="B411" s="23" t="s">
        <v>381</v>
      </c>
      <c r="C411" s="207">
        <v>0</v>
      </c>
      <c r="D411" s="207">
        <v>0</v>
      </c>
      <c r="E411" s="207">
        <v>0</v>
      </c>
      <c r="F411" s="207">
        <v>0</v>
      </c>
      <c r="G411" s="207">
        <v>0</v>
      </c>
      <c r="H411" s="10">
        <f t="shared" si="6"/>
        <v>0</v>
      </c>
      <c r="I411" s="10"/>
      <c r="J411" s="12"/>
      <c r="K411" s="11"/>
      <c r="L411" s="11"/>
      <c r="M411" s="11"/>
    </row>
    <row r="412" spans="1:14" x14ac:dyDescent="0.2">
      <c r="A412" s="130">
        <v>32411</v>
      </c>
      <c r="B412" s="23" t="s">
        <v>382</v>
      </c>
      <c r="C412" s="207">
        <v>0</v>
      </c>
      <c r="D412" s="207">
        <v>0</v>
      </c>
      <c r="E412" s="207">
        <v>0</v>
      </c>
      <c r="F412" s="207">
        <v>0</v>
      </c>
      <c r="G412" s="207">
        <v>0</v>
      </c>
      <c r="H412" s="10">
        <f t="shared" si="6"/>
        <v>0</v>
      </c>
      <c r="I412" s="10"/>
      <c r="J412" s="12"/>
      <c r="K412" s="11"/>
      <c r="L412" s="11"/>
      <c r="M412" s="11"/>
    </row>
    <row r="413" spans="1:14" x14ac:dyDescent="0.2">
      <c r="A413" s="130">
        <v>32421</v>
      </c>
      <c r="B413" s="23" t="s">
        <v>383</v>
      </c>
      <c r="C413" s="207">
        <v>0</v>
      </c>
      <c r="D413" s="207">
        <v>0</v>
      </c>
      <c r="E413" s="207">
        <v>0</v>
      </c>
      <c r="F413" s="207">
        <v>0</v>
      </c>
      <c r="G413" s="207">
        <v>0</v>
      </c>
      <c r="H413" s="10">
        <f t="shared" si="6"/>
        <v>0</v>
      </c>
      <c r="I413" s="10"/>
      <c r="J413" s="12"/>
      <c r="K413" s="11"/>
      <c r="L413" s="11"/>
      <c r="M413" s="11"/>
    </row>
    <row r="414" spans="1:14" x14ac:dyDescent="0.2">
      <c r="A414" s="130">
        <v>32431</v>
      </c>
      <c r="B414" s="23" t="s">
        <v>384</v>
      </c>
      <c r="C414" s="207">
        <v>0</v>
      </c>
      <c r="D414" s="207">
        <v>0</v>
      </c>
      <c r="E414" s="207">
        <v>0</v>
      </c>
      <c r="F414" s="207">
        <v>0</v>
      </c>
      <c r="G414" s="207">
        <v>0</v>
      </c>
      <c r="H414" s="10">
        <f t="shared" si="6"/>
        <v>0</v>
      </c>
      <c r="I414" s="10"/>
      <c r="J414" s="12"/>
      <c r="K414" s="11"/>
      <c r="L414" s="11"/>
      <c r="M414" s="11"/>
    </row>
    <row r="415" spans="1:14" x14ac:dyDescent="0.2">
      <c r="A415" s="130">
        <v>32511</v>
      </c>
      <c r="B415" s="23" t="s">
        <v>385</v>
      </c>
      <c r="C415" s="207">
        <v>0</v>
      </c>
      <c r="D415" s="207">
        <v>0</v>
      </c>
      <c r="E415" s="207">
        <v>0</v>
      </c>
      <c r="F415" s="207">
        <v>0</v>
      </c>
      <c r="G415" s="207">
        <v>0</v>
      </c>
      <c r="H415" s="10">
        <f t="shared" si="6"/>
        <v>0</v>
      </c>
      <c r="I415" s="10"/>
      <c r="J415" s="12"/>
      <c r="K415" s="11"/>
      <c r="L415" s="11"/>
      <c r="M415" s="11"/>
      <c r="N415" s="14"/>
    </row>
    <row r="416" spans="1:14" x14ac:dyDescent="0.2">
      <c r="A416" s="130">
        <v>32521</v>
      </c>
      <c r="B416" s="23" t="s">
        <v>386</v>
      </c>
      <c r="C416" s="207">
        <v>0</v>
      </c>
      <c r="D416" s="207">
        <v>0</v>
      </c>
      <c r="E416" s="207">
        <v>0</v>
      </c>
      <c r="F416" s="207">
        <v>0</v>
      </c>
      <c r="G416" s="207">
        <v>0</v>
      </c>
      <c r="H416" s="10">
        <f t="shared" si="6"/>
        <v>0</v>
      </c>
      <c r="I416" s="10"/>
      <c r="J416" s="12"/>
      <c r="K416" s="11"/>
      <c r="L416" s="11"/>
      <c r="M416" s="11"/>
      <c r="N416" s="14"/>
    </row>
    <row r="417" spans="1:13" x14ac:dyDescent="0.2">
      <c r="A417" s="130">
        <v>33111</v>
      </c>
      <c r="B417" s="23" t="s">
        <v>387</v>
      </c>
      <c r="C417" s="207">
        <v>0</v>
      </c>
      <c r="D417" s="207">
        <v>0</v>
      </c>
      <c r="E417" s="207">
        <v>0</v>
      </c>
      <c r="F417" s="207">
        <v>0</v>
      </c>
      <c r="G417" s="207">
        <v>0</v>
      </c>
      <c r="H417" s="10">
        <f t="shared" si="6"/>
        <v>0</v>
      </c>
      <c r="I417" s="10"/>
      <c r="J417" s="12"/>
      <c r="K417" s="11"/>
      <c r="L417" s="11"/>
      <c r="M417" s="11"/>
    </row>
    <row r="418" spans="1:13" x14ac:dyDescent="0.2">
      <c r="A418" s="130">
        <v>33211</v>
      </c>
      <c r="B418" s="23" t="s">
        <v>388</v>
      </c>
      <c r="C418" s="207">
        <v>0</v>
      </c>
      <c r="D418" s="207">
        <v>0</v>
      </c>
      <c r="E418" s="207">
        <v>0</v>
      </c>
      <c r="F418" s="207">
        <v>0</v>
      </c>
      <c r="G418" s="207">
        <v>0</v>
      </c>
      <c r="H418" s="10">
        <f t="shared" si="6"/>
        <v>0</v>
      </c>
      <c r="I418" s="10"/>
      <c r="J418" s="12"/>
      <c r="K418" s="11"/>
      <c r="M418" s="11"/>
    </row>
    <row r="419" spans="1:13" x14ac:dyDescent="0.2">
      <c r="A419" s="130">
        <v>41110</v>
      </c>
      <c r="B419" s="23" t="s">
        <v>389</v>
      </c>
      <c r="C419" s="207">
        <v>0</v>
      </c>
      <c r="D419" s="207">
        <v>0</v>
      </c>
      <c r="E419" s="207">
        <v>0</v>
      </c>
      <c r="F419" s="207">
        <v>0</v>
      </c>
      <c r="G419" s="207">
        <v>0</v>
      </c>
      <c r="H419" s="10">
        <f>ROUND(F419-G419,2)</f>
        <v>0</v>
      </c>
      <c r="I419" s="10"/>
      <c r="J419" s="12"/>
      <c r="K419" s="11"/>
      <c r="L419" s="11"/>
      <c r="M419" s="11"/>
    </row>
    <row r="420" spans="1:13" x14ac:dyDescent="0.2">
      <c r="A420" s="130">
        <v>41120</v>
      </c>
      <c r="B420" s="23" t="s">
        <v>390</v>
      </c>
      <c r="C420" s="207">
        <v>0</v>
      </c>
      <c r="D420" s="207">
        <v>0</v>
      </c>
      <c r="E420" s="207">
        <v>0</v>
      </c>
      <c r="F420" s="207">
        <v>0</v>
      </c>
      <c r="G420" s="207">
        <v>0</v>
      </c>
      <c r="H420" s="10">
        <f t="shared" ref="H420:H484" si="7">ROUND(F420-G420,2)</f>
        <v>0</v>
      </c>
      <c r="I420" s="10"/>
      <c r="J420" s="12"/>
      <c r="K420" s="11"/>
      <c r="L420" s="11"/>
      <c r="M420" s="11"/>
    </row>
    <row r="421" spans="1:13" x14ac:dyDescent="0.2">
      <c r="A421" s="130">
        <v>41130</v>
      </c>
      <c r="B421" s="23" t="s">
        <v>391</v>
      </c>
      <c r="C421" s="207">
        <v>0</v>
      </c>
      <c r="D421" s="207">
        <v>0</v>
      </c>
      <c r="E421" s="207">
        <v>0</v>
      </c>
      <c r="F421" s="207">
        <v>0</v>
      </c>
      <c r="G421" s="207">
        <v>0</v>
      </c>
      <c r="H421" s="10">
        <f t="shared" si="7"/>
        <v>0</v>
      </c>
      <c r="I421" s="10"/>
      <c r="J421" s="12"/>
      <c r="K421" s="11"/>
      <c r="L421" s="11"/>
      <c r="M421" s="11"/>
    </row>
    <row r="422" spans="1:13" x14ac:dyDescent="0.2">
      <c r="A422" s="130">
        <v>41140</v>
      </c>
      <c r="B422" s="23" t="s">
        <v>392</v>
      </c>
      <c r="C422" s="207">
        <v>0</v>
      </c>
      <c r="D422" s="207">
        <v>0</v>
      </c>
      <c r="E422" s="207">
        <v>0</v>
      </c>
      <c r="F422" s="207">
        <v>0</v>
      </c>
      <c r="G422" s="207">
        <v>0</v>
      </c>
      <c r="H422" s="10">
        <f t="shared" si="7"/>
        <v>0</v>
      </c>
      <c r="I422" s="10"/>
      <c r="J422" s="12"/>
      <c r="K422" s="11"/>
      <c r="L422" s="11"/>
      <c r="M422" s="11"/>
    </row>
    <row r="423" spans="1:13" x14ac:dyDescent="0.2">
      <c r="A423" s="130">
        <v>41150</v>
      </c>
      <c r="B423" s="23" t="s">
        <v>393</v>
      </c>
      <c r="C423" s="207">
        <v>0</v>
      </c>
      <c r="D423" s="207">
        <v>0</v>
      </c>
      <c r="E423" s="207">
        <v>0</v>
      </c>
      <c r="F423" s="207">
        <v>0</v>
      </c>
      <c r="G423" s="207">
        <v>0</v>
      </c>
      <c r="H423" s="10">
        <f t="shared" si="7"/>
        <v>0</v>
      </c>
      <c r="I423" s="10"/>
      <c r="J423" s="12"/>
      <c r="K423" s="11"/>
      <c r="L423" s="11"/>
      <c r="M423" s="11"/>
    </row>
    <row r="424" spans="1:13" x14ac:dyDescent="0.2">
      <c r="A424" s="130">
        <v>41160</v>
      </c>
      <c r="B424" s="23" t="s">
        <v>394</v>
      </c>
      <c r="C424" s="207">
        <v>0</v>
      </c>
      <c r="D424" s="207">
        <v>0</v>
      </c>
      <c r="E424" s="207">
        <v>0</v>
      </c>
      <c r="F424" s="207">
        <v>0</v>
      </c>
      <c r="G424" s="207">
        <v>0</v>
      </c>
      <c r="H424" s="10">
        <f t="shared" si="7"/>
        <v>0</v>
      </c>
      <c r="I424" s="10"/>
      <c r="J424" s="12"/>
      <c r="K424" s="11"/>
      <c r="L424" s="11"/>
      <c r="M424" s="11"/>
    </row>
    <row r="425" spans="1:13" x14ac:dyDescent="0.2">
      <c r="A425" s="130">
        <v>41170</v>
      </c>
      <c r="B425" s="23" t="s">
        <v>395</v>
      </c>
      <c r="C425" s="207">
        <v>0</v>
      </c>
      <c r="D425" s="207">
        <v>0</v>
      </c>
      <c r="E425" s="207">
        <v>0</v>
      </c>
      <c r="F425" s="207">
        <v>0</v>
      </c>
      <c r="G425" s="207">
        <v>0</v>
      </c>
      <c r="H425" s="10">
        <f t="shared" si="7"/>
        <v>0</v>
      </c>
      <c r="I425" s="10"/>
      <c r="J425" s="12"/>
      <c r="K425" s="11"/>
      <c r="L425" s="11"/>
      <c r="M425" s="11"/>
    </row>
    <row r="426" spans="1:13" x14ac:dyDescent="0.2">
      <c r="A426" s="130">
        <v>41190</v>
      </c>
      <c r="B426" s="23" t="s">
        <v>396</v>
      </c>
      <c r="C426" s="207">
        <v>0</v>
      </c>
      <c r="D426" s="207">
        <v>0</v>
      </c>
      <c r="E426" s="207">
        <v>0</v>
      </c>
      <c r="F426" s="207">
        <v>0</v>
      </c>
      <c r="G426" s="207">
        <v>0</v>
      </c>
      <c r="H426" s="10">
        <f t="shared" si="7"/>
        <v>0</v>
      </c>
      <c r="I426" s="10"/>
      <c r="J426" s="12"/>
      <c r="K426" s="11"/>
      <c r="L426" s="11"/>
      <c r="M426" s="11"/>
    </row>
    <row r="427" spans="1:13" x14ac:dyDescent="0.2">
      <c r="A427" s="130">
        <v>41210</v>
      </c>
      <c r="B427" s="23" t="s">
        <v>397</v>
      </c>
      <c r="C427" s="207">
        <v>0</v>
      </c>
      <c r="D427" s="207">
        <v>0</v>
      </c>
      <c r="E427" s="207">
        <v>0</v>
      </c>
      <c r="F427" s="207">
        <v>0</v>
      </c>
      <c r="G427" s="207">
        <v>0</v>
      </c>
      <c r="H427" s="10">
        <f t="shared" si="7"/>
        <v>0</v>
      </c>
      <c r="I427" s="10"/>
      <c r="J427" s="12"/>
      <c r="K427" s="11"/>
      <c r="L427" s="11"/>
      <c r="M427" s="11"/>
    </row>
    <row r="428" spans="1:13" x14ac:dyDescent="0.2">
      <c r="A428" s="130">
        <v>41220</v>
      </c>
      <c r="B428" s="23" t="s">
        <v>398</v>
      </c>
      <c r="C428" s="207">
        <v>0</v>
      </c>
      <c r="D428" s="207">
        <v>0</v>
      </c>
      <c r="E428" s="207">
        <v>0</v>
      </c>
      <c r="F428" s="207">
        <v>0</v>
      </c>
      <c r="G428" s="207">
        <v>0</v>
      </c>
      <c r="H428" s="10">
        <f t="shared" si="7"/>
        <v>0</v>
      </c>
      <c r="I428" s="10"/>
      <c r="J428" s="12"/>
      <c r="K428" s="11"/>
      <c r="L428" s="11"/>
      <c r="M428" s="11"/>
    </row>
    <row r="429" spans="1:13" x14ac:dyDescent="0.2">
      <c r="A429" s="130">
        <v>41230</v>
      </c>
      <c r="B429" s="23" t="s">
        <v>399</v>
      </c>
      <c r="C429" s="207">
        <v>0</v>
      </c>
      <c r="D429" s="207">
        <v>0</v>
      </c>
      <c r="E429" s="207">
        <v>0</v>
      </c>
      <c r="F429" s="207">
        <v>0</v>
      </c>
      <c r="G429" s="207">
        <v>0</v>
      </c>
      <c r="H429" s="10">
        <f t="shared" si="7"/>
        <v>0</v>
      </c>
      <c r="I429" s="10"/>
      <c r="J429" s="12"/>
      <c r="K429" s="11"/>
      <c r="L429" s="11"/>
      <c r="M429" s="11"/>
    </row>
    <row r="430" spans="1:13" x14ac:dyDescent="0.2">
      <c r="A430" s="130">
        <v>41240</v>
      </c>
      <c r="B430" s="23" t="s">
        <v>400</v>
      </c>
      <c r="C430" s="207">
        <v>0</v>
      </c>
      <c r="D430" s="207">
        <v>0</v>
      </c>
      <c r="E430" s="207">
        <v>0</v>
      </c>
      <c r="F430" s="207">
        <v>0</v>
      </c>
      <c r="G430" s="207">
        <v>0</v>
      </c>
      <c r="H430" s="10">
        <f t="shared" si="7"/>
        <v>0</v>
      </c>
      <c r="I430" s="10"/>
      <c r="J430" s="12"/>
      <c r="K430" s="11"/>
      <c r="L430" s="11"/>
      <c r="M430" s="11"/>
    </row>
    <row r="431" spans="1:13" x14ac:dyDescent="0.2">
      <c r="A431" s="130">
        <v>41290</v>
      </c>
      <c r="B431" s="23" t="s">
        <v>401</v>
      </c>
      <c r="C431" s="207">
        <v>0</v>
      </c>
      <c r="D431" s="207">
        <v>0</v>
      </c>
      <c r="E431" s="207">
        <v>0</v>
      </c>
      <c r="F431" s="207">
        <v>0</v>
      </c>
      <c r="G431" s="207">
        <v>0</v>
      </c>
      <c r="H431" s="10">
        <f t="shared" si="7"/>
        <v>0</v>
      </c>
      <c r="I431" s="10"/>
      <c r="J431" s="12"/>
      <c r="K431" s="11"/>
      <c r="L431" s="11"/>
      <c r="M431" s="11"/>
    </row>
    <row r="432" spans="1:13" x14ac:dyDescent="0.2">
      <c r="A432" s="130">
        <v>41310</v>
      </c>
      <c r="B432" s="23" t="s">
        <v>402</v>
      </c>
      <c r="C432" s="207">
        <v>0</v>
      </c>
      <c r="D432" s="207">
        <v>0</v>
      </c>
      <c r="E432" s="207">
        <v>0</v>
      </c>
      <c r="F432" s="207">
        <v>0</v>
      </c>
      <c r="G432" s="207">
        <v>0</v>
      </c>
      <c r="H432" s="10">
        <f t="shared" si="7"/>
        <v>0</v>
      </c>
      <c r="I432" s="10"/>
      <c r="J432" s="12"/>
      <c r="K432" s="11"/>
      <c r="L432" s="11"/>
      <c r="M432" s="11"/>
    </row>
    <row r="433" spans="1:13" x14ac:dyDescent="0.2">
      <c r="A433" s="130">
        <v>41410</v>
      </c>
      <c r="B433" s="23" t="s">
        <v>403</v>
      </c>
      <c r="C433" s="207">
        <v>0</v>
      </c>
      <c r="D433" s="207">
        <v>0</v>
      </c>
      <c r="E433" s="207">
        <v>0</v>
      </c>
      <c r="F433" s="207">
        <v>0</v>
      </c>
      <c r="G433" s="207">
        <v>0</v>
      </c>
      <c r="H433" s="10">
        <f t="shared" si="7"/>
        <v>0</v>
      </c>
      <c r="I433" s="10"/>
      <c r="J433" s="12"/>
      <c r="K433" s="11"/>
      <c r="L433" s="11"/>
      <c r="M433" s="11"/>
    </row>
    <row r="434" spans="1:13" x14ac:dyDescent="0.2">
      <c r="A434" s="130">
        <v>41420</v>
      </c>
      <c r="B434" s="23" t="s">
        <v>404</v>
      </c>
      <c r="C434" s="207">
        <v>0</v>
      </c>
      <c r="D434" s="207">
        <v>0</v>
      </c>
      <c r="E434" s="207">
        <v>0</v>
      </c>
      <c r="F434" s="207">
        <v>0</v>
      </c>
      <c r="G434" s="207">
        <v>0</v>
      </c>
      <c r="H434" s="10">
        <f t="shared" si="7"/>
        <v>0</v>
      </c>
      <c r="I434" s="10"/>
      <c r="J434" s="12"/>
      <c r="K434" s="11"/>
      <c r="L434" s="11"/>
      <c r="M434" s="11"/>
    </row>
    <row r="435" spans="1:13" x14ac:dyDescent="0.2">
      <c r="A435" s="130">
        <v>41430</v>
      </c>
      <c r="B435" s="23" t="s">
        <v>405</v>
      </c>
      <c r="C435" s="207">
        <v>0</v>
      </c>
      <c r="D435" s="207">
        <v>0</v>
      </c>
      <c r="E435" s="207">
        <v>0</v>
      </c>
      <c r="F435" s="207">
        <v>0</v>
      </c>
      <c r="G435" s="207">
        <v>0</v>
      </c>
      <c r="H435" s="10">
        <f t="shared" si="7"/>
        <v>0</v>
      </c>
      <c r="I435" s="10"/>
      <c r="J435" s="12"/>
      <c r="K435" s="11"/>
      <c r="L435" s="11"/>
      <c r="M435" s="11"/>
    </row>
    <row r="436" spans="1:13" x14ac:dyDescent="0.2">
      <c r="A436" s="130">
        <v>41440</v>
      </c>
      <c r="B436" s="23" t="s">
        <v>406</v>
      </c>
      <c r="C436" s="207">
        <v>0</v>
      </c>
      <c r="D436" s="207">
        <v>0</v>
      </c>
      <c r="E436" s="207">
        <v>0</v>
      </c>
      <c r="F436" s="207">
        <v>0</v>
      </c>
      <c r="G436" s="207">
        <v>0</v>
      </c>
      <c r="H436" s="10">
        <f t="shared" si="7"/>
        <v>0</v>
      </c>
      <c r="I436" s="10"/>
      <c r="J436" s="12"/>
      <c r="K436" s="11"/>
      <c r="L436" s="11"/>
      <c r="M436" s="11"/>
    </row>
    <row r="437" spans="1:13" x14ac:dyDescent="0.2">
      <c r="A437" s="130">
        <v>41490</v>
      </c>
      <c r="B437" s="23" t="s">
        <v>407</v>
      </c>
      <c r="C437" s="207">
        <v>0</v>
      </c>
      <c r="D437" s="207">
        <v>0</v>
      </c>
      <c r="E437" s="207">
        <v>0</v>
      </c>
      <c r="F437" s="207">
        <v>0</v>
      </c>
      <c r="G437" s="207">
        <v>0</v>
      </c>
      <c r="H437" s="10">
        <f t="shared" si="7"/>
        <v>0</v>
      </c>
      <c r="I437" s="10"/>
      <c r="J437" s="12"/>
      <c r="K437" s="11"/>
      <c r="L437" s="11"/>
      <c r="M437" s="11"/>
    </row>
    <row r="438" spans="1:13" x14ac:dyDescent="0.2">
      <c r="A438" s="130">
        <v>41510</v>
      </c>
      <c r="B438" s="23" t="s">
        <v>408</v>
      </c>
      <c r="C438" s="207">
        <v>0</v>
      </c>
      <c r="D438" s="207">
        <v>0</v>
      </c>
      <c r="E438" s="207">
        <v>0</v>
      </c>
      <c r="F438" s="207">
        <v>0</v>
      </c>
      <c r="G438" s="207">
        <v>0</v>
      </c>
      <c r="H438" s="10">
        <f t="shared" si="7"/>
        <v>0</v>
      </c>
      <c r="I438" s="10"/>
      <c r="J438" s="12"/>
      <c r="K438" s="11"/>
      <c r="L438" s="11"/>
      <c r="M438" s="11"/>
    </row>
    <row r="439" spans="1:13" x14ac:dyDescent="0.2">
      <c r="A439" s="130">
        <v>41520</v>
      </c>
      <c r="B439" s="23" t="s">
        <v>409</v>
      </c>
      <c r="C439" s="207">
        <v>0</v>
      </c>
      <c r="D439" s="207">
        <v>0</v>
      </c>
      <c r="E439" s="207">
        <v>0</v>
      </c>
      <c r="F439" s="207">
        <v>0</v>
      </c>
      <c r="G439" s="207">
        <v>0</v>
      </c>
      <c r="H439" s="10">
        <f t="shared" si="7"/>
        <v>0</v>
      </c>
      <c r="I439" s="10"/>
      <c r="J439" s="12"/>
      <c r="K439" s="11"/>
      <c r="L439" s="11"/>
      <c r="M439" s="11"/>
    </row>
    <row r="440" spans="1:13" x14ac:dyDescent="0.2">
      <c r="A440" s="130">
        <v>41530</v>
      </c>
      <c r="B440" s="23" t="s">
        <v>410</v>
      </c>
      <c r="C440" s="207">
        <v>0</v>
      </c>
      <c r="D440" s="207">
        <v>0</v>
      </c>
      <c r="E440" s="207">
        <v>0</v>
      </c>
      <c r="F440" s="207">
        <v>0</v>
      </c>
      <c r="G440" s="207">
        <v>0</v>
      </c>
      <c r="H440" s="10">
        <f t="shared" si="7"/>
        <v>0</v>
      </c>
      <c r="I440" s="10"/>
      <c r="J440" s="12"/>
      <c r="K440" s="11"/>
      <c r="L440" s="11"/>
      <c r="M440" s="11"/>
    </row>
    <row r="441" spans="1:13" x14ac:dyDescent="0.2">
      <c r="A441" s="130">
        <v>41590</v>
      </c>
      <c r="B441" s="23" t="s">
        <v>411</v>
      </c>
      <c r="C441" s="207">
        <v>-1448418.23</v>
      </c>
      <c r="D441" s="207">
        <v>0</v>
      </c>
      <c r="E441" s="207">
        <v>0</v>
      </c>
      <c r="F441" s="207">
        <v>0</v>
      </c>
      <c r="G441" s="207">
        <v>0</v>
      </c>
      <c r="H441" s="10">
        <f t="shared" si="7"/>
        <v>0</v>
      </c>
      <c r="I441" s="10"/>
      <c r="J441" s="12"/>
      <c r="K441" s="11"/>
      <c r="L441" s="11"/>
      <c r="M441" s="11"/>
    </row>
    <row r="442" spans="1:13" x14ac:dyDescent="0.2">
      <c r="A442" s="130">
        <v>41610</v>
      </c>
      <c r="B442" s="23" t="s">
        <v>412</v>
      </c>
      <c r="C442" s="207">
        <v>0</v>
      </c>
      <c r="D442" s="207">
        <v>0</v>
      </c>
      <c r="E442" s="207">
        <v>0</v>
      </c>
      <c r="F442" s="207">
        <v>0</v>
      </c>
      <c r="G442" s="207">
        <v>0</v>
      </c>
      <c r="H442" s="10">
        <f t="shared" si="7"/>
        <v>0</v>
      </c>
      <c r="I442" s="10"/>
      <c r="J442" s="12"/>
      <c r="K442" s="11"/>
      <c r="L442" s="11"/>
      <c r="M442" s="11"/>
    </row>
    <row r="443" spans="1:13" x14ac:dyDescent="0.2">
      <c r="A443" s="130">
        <v>41620</v>
      </c>
      <c r="B443" s="23" t="s">
        <v>413</v>
      </c>
      <c r="C443" s="207">
        <v>0</v>
      </c>
      <c r="D443" s="207">
        <v>0</v>
      </c>
      <c r="E443" s="207">
        <v>0</v>
      </c>
      <c r="F443" s="207">
        <v>0</v>
      </c>
      <c r="G443" s="207">
        <v>0</v>
      </c>
      <c r="H443" s="10">
        <f t="shared" si="7"/>
        <v>0</v>
      </c>
      <c r="I443" s="10"/>
      <c r="J443" s="12"/>
      <c r="K443" s="11"/>
      <c r="L443" s="11"/>
      <c r="M443" s="11"/>
    </row>
    <row r="444" spans="1:13" x14ac:dyDescent="0.2">
      <c r="A444" s="130">
        <v>41630</v>
      </c>
      <c r="B444" s="23" t="s">
        <v>414</v>
      </c>
      <c r="C444" s="207">
        <v>0</v>
      </c>
      <c r="D444" s="207">
        <v>0</v>
      </c>
      <c r="E444" s="207">
        <v>0</v>
      </c>
      <c r="F444" s="207">
        <v>0</v>
      </c>
      <c r="G444" s="207">
        <v>0</v>
      </c>
      <c r="H444" s="10">
        <f t="shared" si="7"/>
        <v>0</v>
      </c>
      <c r="I444" s="10"/>
      <c r="J444" s="12"/>
      <c r="K444" s="11"/>
      <c r="L444" s="11"/>
      <c r="M444" s="11"/>
    </row>
    <row r="445" spans="1:13" x14ac:dyDescent="0.2">
      <c r="A445" s="130">
        <v>41640</v>
      </c>
      <c r="B445" s="23" t="s">
        <v>415</v>
      </c>
      <c r="C445" s="207">
        <v>0</v>
      </c>
      <c r="D445" s="207">
        <v>0</v>
      </c>
      <c r="E445" s="207">
        <v>0</v>
      </c>
      <c r="F445" s="207">
        <v>0</v>
      </c>
      <c r="G445" s="207">
        <v>0</v>
      </c>
      <c r="H445" s="10">
        <f t="shared" si="7"/>
        <v>0</v>
      </c>
      <c r="I445" s="10"/>
      <c r="J445" s="12"/>
      <c r="K445" s="11"/>
      <c r="L445" s="11"/>
      <c r="M445" s="11"/>
    </row>
    <row r="446" spans="1:13" x14ac:dyDescent="0.2">
      <c r="A446" s="130">
        <v>41650</v>
      </c>
      <c r="B446" s="23" t="s">
        <v>416</v>
      </c>
      <c r="C446" s="207">
        <v>0</v>
      </c>
      <c r="D446" s="207">
        <v>0</v>
      </c>
      <c r="E446" s="207">
        <v>0</v>
      </c>
      <c r="F446" s="207">
        <v>0</v>
      </c>
      <c r="G446" s="207">
        <v>0</v>
      </c>
      <c r="H446" s="10">
        <f t="shared" si="7"/>
        <v>0</v>
      </c>
      <c r="I446" s="10"/>
      <c r="J446" s="12"/>
      <c r="K446" s="11"/>
      <c r="L446" s="11"/>
      <c r="M446" s="11"/>
    </row>
    <row r="447" spans="1:13" x14ac:dyDescent="0.2">
      <c r="A447" s="130">
        <v>41660</v>
      </c>
      <c r="B447" s="23" t="s">
        <v>417</v>
      </c>
      <c r="C447" s="207">
        <v>0</v>
      </c>
      <c r="D447" s="207">
        <v>0</v>
      </c>
      <c r="E447" s="207">
        <v>0</v>
      </c>
      <c r="F447" s="207">
        <v>0</v>
      </c>
      <c r="G447" s="207">
        <v>0</v>
      </c>
      <c r="H447" s="10">
        <f t="shared" si="7"/>
        <v>0</v>
      </c>
      <c r="I447" s="10"/>
      <c r="J447" s="12"/>
      <c r="K447" s="11"/>
      <c r="L447" s="11"/>
      <c r="M447" s="11"/>
    </row>
    <row r="448" spans="1:13" x14ac:dyDescent="0.2">
      <c r="A448" s="130">
        <v>41670</v>
      </c>
      <c r="B448" s="23" t="s">
        <v>418</v>
      </c>
      <c r="C448" s="207">
        <v>0</v>
      </c>
      <c r="D448" s="207">
        <v>0</v>
      </c>
      <c r="E448" s="207">
        <v>0</v>
      </c>
      <c r="F448" s="207">
        <v>0</v>
      </c>
      <c r="G448" s="207">
        <v>0</v>
      </c>
      <c r="H448" s="10">
        <f t="shared" si="7"/>
        <v>0</v>
      </c>
      <c r="I448" s="10"/>
      <c r="J448" s="12"/>
      <c r="K448" s="11"/>
      <c r="L448" s="11"/>
      <c r="M448" s="11"/>
    </row>
    <row r="449" spans="1:13" x14ac:dyDescent="0.2">
      <c r="A449" s="130">
        <v>41680</v>
      </c>
      <c r="B449" s="23" t="s">
        <v>419</v>
      </c>
      <c r="C449" s="207">
        <v>0</v>
      </c>
      <c r="D449" s="207">
        <v>0</v>
      </c>
      <c r="E449" s="207">
        <v>0</v>
      </c>
      <c r="F449" s="207">
        <v>0</v>
      </c>
      <c r="G449" s="207">
        <v>0</v>
      </c>
      <c r="H449" s="10">
        <f t="shared" si="7"/>
        <v>0</v>
      </c>
      <c r="I449" s="10"/>
      <c r="J449" s="12"/>
      <c r="K449" s="11"/>
      <c r="L449" s="11"/>
      <c r="M449" s="11"/>
    </row>
    <row r="450" spans="1:13" x14ac:dyDescent="0.2">
      <c r="A450" s="130">
        <v>41690</v>
      </c>
      <c r="B450" s="23" t="s">
        <v>420</v>
      </c>
      <c r="C450" s="207">
        <v>0</v>
      </c>
      <c r="D450" s="207">
        <v>0</v>
      </c>
      <c r="E450" s="207">
        <v>0</v>
      </c>
      <c r="F450" s="207">
        <v>0</v>
      </c>
      <c r="G450" s="207">
        <v>0</v>
      </c>
      <c r="H450" s="10">
        <f t="shared" si="7"/>
        <v>0</v>
      </c>
      <c r="I450" s="10"/>
      <c r="J450" s="12"/>
      <c r="K450" s="11"/>
      <c r="L450" s="11"/>
      <c r="M450" s="11"/>
    </row>
    <row r="451" spans="1:13" x14ac:dyDescent="0.2">
      <c r="A451" s="130">
        <v>41710</v>
      </c>
      <c r="B451" s="23" t="s">
        <v>421</v>
      </c>
      <c r="C451" s="207">
        <v>0</v>
      </c>
      <c r="D451" s="207">
        <v>0</v>
      </c>
      <c r="E451" s="207">
        <v>0</v>
      </c>
      <c r="F451" s="207">
        <v>0</v>
      </c>
      <c r="G451" s="207">
        <v>0</v>
      </c>
      <c r="H451" s="10">
        <f t="shared" si="7"/>
        <v>0</v>
      </c>
      <c r="I451" s="10"/>
      <c r="J451" s="12"/>
      <c r="K451" s="11"/>
      <c r="L451" s="11"/>
      <c r="M451" s="11"/>
    </row>
    <row r="452" spans="1:13" x14ac:dyDescent="0.2">
      <c r="A452" s="130">
        <v>41720</v>
      </c>
      <c r="B452" s="23" t="s">
        <v>422</v>
      </c>
      <c r="C452" s="207">
        <v>0</v>
      </c>
      <c r="D452" s="207">
        <v>0</v>
      </c>
      <c r="E452" s="207">
        <v>0</v>
      </c>
      <c r="F452" s="207">
        <v>0</v>
      </c>
      <c r="G452" s="207">
        <v>0</v>
      </c>
      <c r="H452" s="10">
        <f t="shared" si="7"/>
        <v>0</v>
      </c>
      <c r="I452" s="10"/>
      <c r="J452" s="12"/>
      <c r="K452" s="11"/>
      <c r="L452" s="11"/>
      <c r="M452" s="11"/>
    </row>
    <row r="453" spans="1:13" x14ac:dyDescent="0.2">
      <c r="A453" s="130">
        <v>41730</v>
      </c>
      <c r="B453" s="23" t="s">
        <v>423</v>
      </c>
      <c r="C453" s="207">
        <v>-777278.4</v>
      </c>
      <c r="D453" s="207">
        <v>-444551.46</v>
      </c>
      <c r="E453" s="207">
        <v>-444551.46</v>
      </c>
      <c r="F453" s="207">
        <v>105712</v>
      </c>
      <c r="G453" s="207">
        <v>886185.53</v>
      </c>
      <c r="H453" s="10">
        <f t="shared" si="7"/>
        <v>-780473.53</v>
      </c>
      <c r="I453" s="10"/>
      <c r="J453" s="12"/>
      <c r="K453" s="11"/>
      <c r="L453" s="11"/>
      <c r="M453" s="11"/>
    </row>
    <row r="454" spans="1:13" x14ac:dyDescent="0.2">
      <c r="A454" s="130">
        <v>41740</v>
      </c>
      <c r="B454" s="23" t="s">
        <v>424</v>
      </c>
      <c r="C454" s="207">
        <v>0</v>
      </c>
      <c r="D454" s="207">
        <v>0</v>
      </c>
      <c r="E454" s="207">
        <v>0</v>
      </c>
      <c r="F454" s="207">
        <v>0</v>
      </c>
      <c r="G454" s="207">
        <v>0</v>
      </c>
      <c r="H454" s="10">
        <f t="shared" si="7"/>
        <v>0</v>
      </c>
      <c r="I454" s="10"/>
      <c r="J454" s="12"/>
      <c r="K454" s="11"/>
      <c r="L454" s="11"/>
      <c r="M454" s="11"/>
    </row>
    <row r="455" spans="1:13" x14ac:dyDescent="0.2">
      <c r="A455" s="130">
        <v>41910</v>
      </c>
      <c r="B455" s="23" t="s">
        <v>425</v>
      </c>
      <c r="C455" s="207">
        <v>0</v>
      </c>
      <c r="D455" s="207">
        <v>0</v>
      </c>
      <c r="E455" s="207">
        <v>0</v>
      </c>
      <c r="F455" s="207">
        <v>0</v>
      </c>
      <c r="G455" s="207">
        <v>0</v>
      </c>
      <c r="H455" s="10">
        <f t="shared" si="7"/>
        <v>0</v>
      </c>
      <c r="I455" s="10"/>
      <c r="J455" s="12"/>
      <c r="K455" s="11"/>
      <c r="L455" s="11"/>
      <c r="M455" s="11"/>
    </row>
    <row r="456" spans="1:13" x14ac:dyDescent="0.2">
      <c r="A456" s="130">
        <v>41920</v>
      </c>
      <c r="B456" s="23" t="s">
        <v>426</v>
      </c>
      <c r="C456" s="207">
        <v>0</v>
      </c>
      <c r="D456" s="207">
        <v>0</v>
      </c>
      <c r="E456" s="207">
        <v>0</v>
      </c>
      <c r="F456" s="207">
        <v>0</v>
      </c>
      <c r="G456" s="207">
        <v>0</v>
      </c>
      <c r="H456" s="10">
        <f t="shared" si="7"/>
        <v>0</v>
      </c>
      <c r="I456" s="10"/>
      <c r="J456" s="12"/>
      <c r="K456" s="11"/>
      <c r="L456" s="11"/>
      <c r="M456" s="11"/>
    </row>
    <row r="457" spans="1:13" x14ac:dyDescent="0.2">
      <c r="A457" s="130">
        <v>42110</v>
      </c>
      <c r="B457" s="23" t="s">
        <v>427</v>
      </c>
      <c r="C457" s="207">
        <v>0</v>
      </c>
      <c r="D457" s="207">
        <v>0</v>
      </c>
      <c r="E457" s="207">
        <v>0</v>
      </c>
      <c r="F457" s="207">
        <v>0</v>
      </c>
      <c r="G457" s="207">
        <v>0</v>
      </c>
      <c r="H457" s="10">
        <f t="shared" si="7"/>
        <v>0</v>
      </c>
      <c r="I457" s="10"/>
      <c r="J457" s="12"/>
      <c r="K457" s="11"/>
      <c r="L457" s="11"/>
      <c r="M457" s="11"/>
    </row>
    <row r="458" spans="1:13" x14ac:dyDescent="0.2">
      <c r="A458" s="130">
        <v>42120</v>
      </c>
      <c r="B458" s="23" t="s">
        <v>428</v>
      </c>
      <c r="C458" s="207">
        <v>-6294947763.1099997</v>
      </c>
      <c r="D458" s="207">
        <v>-6366622428.1300001</v>
      </c>
      <c r="E458" s="207">
        <v>-6366622428.1300001</v>
      </c>
      <c r="F458" s="207">
        <v>3122885734.6100001</v>
      </c>
      <c r="G458" s="207">
        <v>9654828529.4799995</v>
      </c>
      <c r="H458" s="10">
        <f t="shared" si="7"/>
        <v>-6531942794.8699999</v>
      </c>
      <c r="I458" s="10"/>
      <c r="J458" s="12"/>
      <c r="K458" s="11"/>
      <c r="L458" s="11"/>
      <c r="M458" s="11"/>
    </row>
    <row r="459" spans="1:13" x14ac:dyDescent="0.2">
      <c r="A459" s="130">
        <v>42130</v>
      </c>
      <c r="B459" s="23" t="s">
        <v>429</v>
      </c>
      <c r="C459" s="207">
        <v>-227465890.44999999</v>
      </c>
      <c r="D459" s="207">
        <v>-245990762.46000001</v>
      </c>
      <c r="E459" s="207">
        <v>-245990762.46000001</v>
      </c>
      <c r="F459" s="207">
        <v>1147997855.3</v>
      </c>
      <c r="G459" s="207">
        <v>1818666160.6199999</v>
      </c>
      <c r="H459" s="10">
        <f t="shared" si="7"/>
        <v>-670668305.32000005</v>
      </c>
      <c r="I459" s="10"/>
      <c r="J459" s="12"/>
      <c r="K459" s="11"/>
      <c r="L459" s="11"/>
      <c r="M459" s="11"/>
    </row>
    <row r="460" spans="1:13" x14ac:dyDescent="0.2">
      <c r="A460" s="130">
        <v>42140</v>
      </c>
      <c r="B460" s="23" t="s">
        <v>412</v>
      </c>
      <c r="C460" s="207">
        <v>0</v>
      </c>
      <c r="D460" s="207">
        <v>0</v>
      </c>
      <c r="E460" s="207">
        <v>0</v>
      </c>
      <c r="F460" s="207">
        <v>0</v>
      </c>
      <c r="G460" s="207">
        <v>0</v>
      </c>
      <c r="H460" s="10">
        <f t="shared" si="7"/>
        <v>0</v>
      </c>
      <c r="I460" s="10"/>
      <c r="J460" s="12"/>
      <c r="K460" s="11"/>
      <c r="L460" s="11"/>
      <c r="M460" s="11"/>
    </row>
    <row r="461" spans="1:13" x14ac:dyDescent="0.2">
      <c r="A461" s="130">
        <v>42210</v>
      </c>
      <c r="B461" s="23" t="s">
        <v>280</v>
      </c>
      <c r="C461" s="207">
        <v>-636619257.65999997</v>
      </c>
      <c r="D461" s="207">
        <v>-734326970.14999998</v>
      </c>
      <c r="E461" s="207">
        <v>-734326970.14999998</v>
      </c>
      <c r="F461" s="207">
        <v>104424412.53</v>
      </c>
      <c r="G461" s="207">
        <v>626640133.16999996</v>
      </c>
      <c r="H461" s="10">
        <f t="shared" si="7"/>
        <v>-522215720.63999999</v>
      </c>
      <c r="I461" s="10"/>
      <c r="J461" s="12"/>
      <c r="K461" s="11"/>
      <c r="L461" s="11"/>
      <c r="M461" s="11"/>
    </row>
    <row r="462" spans="1:13" x14ac:dyDescent="0.2">
      <c r="A462" s="130">
        <v>42220</v>
      </c>
      <c r="B462" s="23" t="s">
        <v>281</v>
      </c>
      <c r="C462" s="207">
        <v>0</v>
      </c>
      <c r="D462" s="207">
        <v>0</v>
      </c>
      <c r="E462" s="207">
        <v>0</v>
      </c>
      <c r="F462" s="207">
        <v>0</v>
      </c>
      <c r="G462" s="207">
        <v>0</v>
      </c>
      <c r="H462" s="10">
        <f t="shared" si="7"/>
        <v>0</v>
      </c>
      <c r="I462" s="10"/>
      <c r="J462" s="12"/>
      <c r="K462" s="11"/>
      <c r="L462" s="11"/>
      <c r="M462" s="11"/>
    </row>
    <row r="463" spans="1:13" x14ac:dyDescent="0.2">
      <c r="A463" s="130">
        <v>42230</v>
      </c>
      <c r="B463" s="23" t="s">
        <v>284</v>
      </c>
      <c r="C463" s="207">
        <v>0</v>
      </c>
      <c r="D463" s="207">
        <v>0</v>
      </c>
      <c r="E463" s="207">
        <v>0</v>
      </c>
      <c r="F463" s="207">
        <v>0</v>
      </c>
      <c r="G463" s="207">
        <v>0</v>
      </c>
      <c r="H463" s="10">
        <f t="shared" si="7"/>
        <v>0</v>
      </c>
      <c r="I463" s="10"/>
      <c r="J463" s="12"/>
      <c r="K463" s="11"/>
      <c r="L463" s="11"/>
      <c r="M463" s="11"/>
    </row>
    <row r="464" spans="1:13" x14ac:dyDescent="0.2">
      <c r="A464" s="130">
        <v>42240</v>
      </c>
      <c r="B464" s="23" t="s">
        <v>285</v>
      </c>
      <c r="C464" s="207">
        <v>0</v>
      </c>
      <c r="D464" s="207">
        <v>0</v>
      </c>
      <c r="E464" s="207">
        <v>0</v>
      </c>
      <c r="F464" s="207">
        <v>0</v>
      </c>
      <c r="G464" s="207">
        <v>0</v>
      </c>
      <c r="H464" s="10">
        <f t="shared" si="7"/>
        <v>0</v>
      </c>
      <c r="I464" s="10"/>
      <c r="J464" s="12"/>
      <c r="K464" s="11"/>
      <c r="L464" s="11"/>
      <c r="M464" s="11"/>
    </row>
    <row r="465" spans="1:13" x14ac:dyDescent="0.2">
      <c r="A465" s="130">
        <v>42250</v>
      </c>
      <c r="B465" s="23" t="s">
        <v>286</v>
      </c>
      <c r="C465" s="207">
        <v>0</v>
      </c>
      <c r="D465" s="207">
        <v>0</v>
      </c>
      <c r="E465" s="207">
        <v>0</v>
      </c>
      <c r="F465" s="207">
        <v>0</v>
      </c>
      <c r="G465" s="207">
        <v>0</v>
      </c>
      <c r="H465" s="10">
        <f t="shared" si="7"/>
        <v>0</v>
      </c>
      <c r="I465" s="10"/>
      <c r="J465" s="12"/>
      <c r="K465" s="11"/>
      <c r="L465" s="11"/>
      <c r="M465" s="11"/>
    </row>
    <row r="466" spans="1:13" x14ac:dyDescent="0.2">
      <c r="A466" s="130">
        <v>43110</v>
      </c>
      <c r="B466" s="23" t="s">
        <v>430</v>
      </c>
      <c r="C466" s="207">
        <v>0</v>
      </c>
      <c r="D466" s="207">
        <v>0</v>
      </c>
      <c r="E466" s="207">
        <v>0</v>
      </c>
      <c r="F466" s="207">
        <v>0</v>
      </c>
      <c r="G466" s="207">
        <v>0</v>
      </c>
      <c r="H466" s="10">
        <f t="shared" si="7"/>
        <v>0</v>
      </c>
      <c r="I466" s="10"/>
      <c r="J466" s="12"/>
      <c r="K466" s="11"/>
      <c r="L466" s="11"/>
      <c r="M466" s="11"/>
    </row>
    <row r="467" spans="1:13" x14ac:dyDescent="0.2">
      <c r="A467" s="130">
        <v>43190</v>
      </c>
      <c r="B467" s="23" t="s">
        <v>431</v>
      </c>
      <c r="C467" s="207">
        <v>0</v>
      </c>
      <c r="D467" s="207">
        <v>0</v>
      </c>
      <c r="E467" s="207">
        <v>0</v>
      </c>
      <c r="F467" s="207">
        <v>0</v>
      </c>
      <c r="G467" s="207">
        <v>0</v>
      </c>
      <c r="H467" s="10">
        <f t="shared" si="7"/>
        <v>0</v>
      </c>
      <c r="I467" s="10"/>
      <c r="J467" s="12"/>
      <c r="K467" s="11"/>
      <c r="L467" s="11"/>
      <c r="M467" s="11"/>
    </row>
    <row r="468" spans="1:13" x14ac:dyDescent="0.2">
      <c r="A468" s="130">
        <v>43210</v>
      </c>
      <c r="B468" s="23" t="s">
        <v>432</v>
      </c>
      <c r="C468" s="207">
        <v>0</v>
      </c>
      <c r="D468" s="207">
        <v>0</v>
      </c>
      <c r="E468" s="207">
        <v>0</v>
      </c>
      <c r="F468" s="207">
        <v>0</v>
      </c>
      <c r="G468" s="207">
        <v>0</v>
      </c>
      <c r="H468" s="10">
        <f t="shared" si="7"/>
        <v>0</v>
      </c>
      <c r="I468" s="10"/>
      <c r="J468" s="12"/>
      <c r="K468" s="11"/>
      <c r="L468" s="11"/>
      <c r="M468" s="11"/>
    </row>
    <row r="469" spans="1:13" x14ac:dyDescent="0.2">
      <c r="A469" s="130">
        <v>43220</v>
      </c>
      <c r="B469" s="23" t="s">
        <v>433</v>
      </c>
      <c r="C469" s="207">
        <v>0</v>
      </c>
      <c r="D469" s="207">
        <v>0</v>
      </c>
      <c r="E469" s="207">
        <v>0</v>
      </c>
      <c r="F469" s="207">
        <v>0</v>
      </c>
      <c r="G469" s="207">
        <v>0</v>
      </c>
      <c r="H469" s="10">
        <f t="shared" si="7"/>
        <v>0</v>
      </c>
      <c r="I469" s="10"/>
      <c r="J469" s="12"/>
      <c r="K469" s="11"/>
      <c r="L469" s="11"/>
      <c r="M469" s="11"/>
    </row>
    <row r="470" spans="1:13" x14ac:dyDescent="0.2">
      <c r="A470" s="130">
        <v>43230</v>
      </c>
      <c r="B470" s="23" t="s">
        <v>434</v>
      </c>
      <c r="C470" s="207">
        <v>0</v>
      </c>
      <c r="D470" s="207">
        <v>0</v>
      </c>
      <c r="E470" s="207">
        <v>0</v>
      </c>
      <c r="F470" s="207">
        <v>0</v>
      </c>
      <c r="G470" s="207">
        <v>0</v>
      </c>
      <c r="H470" s="10">
        <f t="shared" si="7"/>
        <v>0</v>
      </c>
      <c r="I470" s="10"/>
      <c r="J470" s="12"/>
      <c r="K470" s="11"/>
      <c r="L470" s="11"/>
      <c r="M470" s="11"/>
    </row>
    <row r="471" spans="1:13" x14ac:dyDescent="0.2">
      <c r="A471" s="130">
        <v>43240</v>
      </c>
      <c r="B471" s="23" t="s">
        <v>435</v>
      </c>
      <c r="C471" s="207">
        <v>0</v>
      </c>
      <c r="D471" s="207">
        <v>0</v>
      </c>
      <c r="E471" s="207">
        <v>0</v>
      </c>
      <c r="F471" s="207">
        <v>0</v>
      </c>
      <c r="G471" s="207">
        <v>0</v>
      </c>
      <c r="H471" s="10">
        <f t="shared" si="7"/>
        <v>0</v>
      </c>
      <c r="I471" s="10"/>
      <c r="J471" s="12"/>
      <c r="K471" s="11"/>
      <c r="L471" s="11"/>
      <c r="M471" s="11"/>
    </row>
    <row r="472" spans="1:13" x14ac:dyDescent="0.2">
      <c r="A472" s="130">
        <v>43250</v>
      </c>
      <c r="B472" s="23" t="s">
        <v>436</v>
      </c>
      <c r="C472" s="207">
        <v>0</v>
      </c>
      <c r="D472" s="207">
        <v>0</v>
      </c>
      <c r="E472" s="207">
        <v>0</v>
      </c>
      <c r="F472" s="207">
        <v>0</v>
      </c>
      <c r="G472" s="207">
        <v>0</v>
      </c>
      <c r="H472" s="10">
        <f t="shared" si="7"/>
        <v>0</v>
      </c>
      <c r="I472" s="10"/>
      <c r="J472" s="12"/>
      <c r="K472" s="11"/>
      <c r="L472" s="11"/>
      <c r="M472" s="11"/>
    </row>
    <row r="473" spans="1:13" x14ac:dyDescent="0.2">
      <c r="A473" s="130">
        <v>43310</v>
      </c>
      <c r="B473" s="23" t="s">
        <v>437</v>
      </c>
      <c r="C473" s="207">
        <v>0</v>
      </c>
      <c r="D473" s="207">
        <v>0</v>
      </c>
      <c r="E473" s="207">
        <v>0</v>
      </c>
      <c r="F473" s="207">
        <v>0</v>
      </c>
      <c r="G473" s="207">
        <v>0</v>
      </c>
      <c r="H473" s="10">
        <f t="shared" si="7"/>
        <v>0</v>
      </c>
      <c r="I473" s="10"/>
      <c r="J473" s="12"/>
      <c r="K473" s="11"/>
      <c r="L473" s="11"/>
      <c r="M473" s="11"/>
    </row>
    <row r="474" spans="1:13" x14ac:dyDescent="0.2">
      <c r="A474" s="130">
        <v>43410</v>
      </c>
      <c r="B474" s="23" t="s">
        <v>438</v>
      </c>
      <c r="C474" s="207">
        <v>0</v>
      </c>
      <c r="D474" s="207">
        <v>0</v>
      </c>
      <c r="E474" s="207">
        <v>0</v>
      </c>
      <c r="F474" s="207">
        <v>0</v>
      </c>
      <c r="G474" s="207">
        <v>0</v>
      </c>
      <c r="H474" s="10">
        <f t="shared" si="7"/>
        <v>0</v>
      </c>
      <c r="I474" s="10"/>
      <c r="J474" s="12"/>
      <c r="K474" s="11"/>
      <c r="L474" s="11"/>
      <c r="M474" s="11"/>
    </row>
    <row r="475" spans="1:13" x14ac:dyDescent="0.2">
      <c r="A475" s="130">
        <v>43910</v>
      </c>
      <c r="B475" s="23" t="s">
        <v>439</v>
      </c>
      <c r="C475" s="207">
        <v>-152815.70000000001</v>
      </c>
      <c r="D475" s="207">
        <v>-572733.02</v>
      </c>
      <c r="E475" s="207">
        <v>-572733.02</v>
      </c>
      <c r="F475" s="207">
        <v>28298.61</v>
      </c>
      <c r="G475" s="207">
        <v>227099.413</v>
      </c>
      <c r="H475" s="10">
        <f t="shared" si="7"/>
        <v>-198800.8</v>
      </c>
      <c r="I475" s="10"/>
      <c r="J475" s="12"/>
      <c r="K475" s="11"/>
      <c r="L475" s="11"/>
      <c r="M475" s="11"/>
    </row>
    <row r="476" spans="1:13" x14ac:dyDescent="0.2">
      <c r="A476" s="130">
        <v>43920</v>
      </c>
      <c r="B476" s="23" t="s">
        <v>440</v>
      </c>
      <c r="C476" s="207">
        <v>0</v>
      </c>
      <c r="D476" s="207">
        <v>0</v>
      </c>
      <c r="E476" s="207">
        <v>0</v>
      </c>
      <c r="F476" s="207">
        <v>0</v>
      </c>
      <c r="G476" s="207">
        <v>0</v>
      </c>
      <c r="H476" s="10">
        <f t="shared" si="7"/>
        <v>0</v>
      </c>
      <c r="I476" s="10"/>
      <c r="J476" s="12"/>
      <c r="K476" s="11"/>
      <c r="L476" s="11"/>
      <c r="M476" s="11"/>
    </row>
    <row r="477" spans="1:13" x14ac:dyDescent="0.2">
      <c r="A477" s="130">
        <v>43930</v>
      </c>
      <c r="B477" s="23" t="s">
        <v>441</v>
      </c>
      <c r="C477" s="207">
        <v>0</v>
      </c>
      <c r="D477" s="207">
        <v>0</v>
      </c>
      <c r="E477" s="207">
        <v>0</v>
      </c>
      <c r="F477" s="207">
        <v>0</v>
      </c>
      <c r="G477" s="207">
        <v>0</v>
      </c>
      <c r="H477" s="10">
        <f t="shared" si="7"/>
        <v>0</v>
      </c>
      <c r="I477" s="10"/>
      <c r="J477" s="12"/>
      <c r="K477" s="11"/>
      <c r="L477" s="11"/>
      <c r="M477" s="11"/>
    </row>
    <row r="478" spans="1:13" x14ac:dyDescent="0.2">
      <c r="A478" s="130">
        <v>43940</v>
      </c>
      <c r="B478" s="23" t="s">
        <v>442</v>
      </c>
      <c r="C478" s="207">
        <v>0</v>
      </c>
      <c r="D478" s="207">
        <v>0</v>
      </c>
      <c r="E478" s="207">
        <v>0</v>
      </c>
      <c r="F478" s="207">
        <v>0</v>
      </c>
      <c r="G478" s="207">
        <v>0</v>
      </c>
      <c r="H478" s="10">
        <f t="shared" si="7"/>
        <v>0</v>
      </c>
      <c r="I478" s="10"/>
      <c r="J478" s="12"/>
      <c r="K478" s="11"/>
      <c r="L478" s="11"/>
      <c r="M478" s="11"/>
    </row>
    <row r="479" spans="1:13" x14ac:dyDescent="0.2">
      <c r="A479" s="130">
        <v>43950</v>
      </c>
      <c r="B479" s="23" t="s">
        <v>387</v>
      </c>
      <c r="C479" s="207">
        <v>0</v>
      </c>
      <c r="D479" s="207">
        <v>0</v>
      </c>
      <c r="E479" s="207">
        <v>0</v>
      </c>
      <c r="F479" s="207">
        <v>0</v>
      </c>
      <c r="G479" s="207">
        <v>0</v>
      </c>
      <c r="H479" s="10">
        <f t="shared" si="7"/>
        <v>0</v>
      </c>
      <c r="I479" s="10"/>
      <c r="J479" s="12"/>
      <c r="K479" s="11"/>
      <c r="L479" s="11"/>
      <c r="M479" s="11"/>
    </row>
    <row r="480" spans="1:13" x14ac:dyDescent="0.2">
      <c r="A480" s="130">
        <v>43960</v>
      </c>
      <c r="B480" s="23" t="s">
        <v>443</v>
      </c>
      <c r="C480" s="207">
        <v>0</v>
      </c>
      <c r="D480" s="207">
        <v>0</v>
      </c>
      <c r="E480" s="207">
        <v>0</v>
      </c>
      <c r="F480" s="207">
        <v>0</v>
      </c>
      <c r="G480" s="207">
        <v>0</v>
      </c>
      <c r="H480" s="10">
        <f t="shared" si="7"/>
        <v>0</v>
      </c>
      <c r="I480" s="10"/>
      <c r="J480" s="12"/>
      <c r="K480" s="11"/>
      <c r="L480" s="11"/>
      <c r="M480" s="11"/>
    </row>
    <row r="481" spans="1:13" x14ac:dyDescent="0.2">
      <c r="A481" s="130">
        <v>43990</v>
      </c>
      <c r="B481" s="23" t="s">
        <v>444</v>
      </c>
      <c r="C481" s="207">
        <v>-11536892.76</v>
      </c>
      <c r="D481" s="207">
        <v>-1989072.98</v>
      </c>
      <c r="E481" s="207">
        <v>-1989072.98</v>
      </c>
      <c r="F481" s="207">
        <v>91496.88</v>
      </c>
      <c r="G481" s="207">
        <v>1366769.88</v>
      </c>
      <c r="H481" s="10">
        <f t="shared" si="7"/>
        <v>-1275273</v>
      </c>
      <c r="I481" s="10"/>
      <c r="J481" s="12"/>
      <c r="K481" s="11"/>
      <c r="L481" s="11"/>
      <c r="M481" s="11"/>
    </row>
    <row r="482" spans="1:13" x14ac:dyDescent="0.2">
      <c r="A482" s="130">
        <v>51110</v>
      </c>
      <c r="B482" s="23" t="s">
        <v>445</v>
      </c>
      <c r="C482" s="207">
        <v>2606925116.0500002</v>
      </c>
      <c r="D482" s="207">
        <v>2645127164.0799999</v>
      </c>
      <c r="E482" s="207">
        <v>2645127164.0799999</v>
      </c>
      <c r="F482" s="207">
        <v>4226706686.9400001</v>
      </c>
      <c r="G482" s="207">
        <v>1506770035.47</v>
      </c>
      <c r="H482" s="10">
        <f t="shared" si="7"/>
        <v>2719936651.4699998</v>
      </c>
      <c r="I482" s="15">
        <f t="shared" ref="I482:I513" si="8">IF(H482&gt;=(SUM($H$482:$H$611)*0.1),I481+1,I481+0)</f>
        <v>1</v>
      </c>
      <c r="J482" s="12" t="str">
        <f>B482</f>
        <v>REMUNERACIONES AL PERSONAL DE CARÁCTER PERMANENTE</v>
      </c>
      <c r="K482" s="11">
        <f>H482</f>
        <v>2719936651.4699998</v>
      </c>
      <c r="L482" s="11"/>
      <c r="M482" s="11"/>
    </row>
    <row r="483" spans="1:13" x14ac:dyDescent="0.2">
      <c r="A483" s="130">
        <v>51120</v>
      </c>
      <c r="B483" s="23" t="s">
        <v>446</v>
      </c>
      <c r="C483" s="207">
        <v>29378028.280000001</v>
      </c>
      <c r="D483" s="207">
        <v>33811296.880000003</v>
      </c>
      <c r="E483" s="207">
        <v>33811296.880000003</v>
      </c>
      <c r="F483" s="207">
        <v>36806871.909999996</v>
      </c>
      <c r="G483" s="207">
        <v>3399276.41</v>
      </c>
      <c r="H483" s="10">
        <f t="shared" si="7"/>
        <v>33407595.5</v>
      </c>
      <c r="I483" s="15">
        <f t="shared" si="8"/>
        <v>1</v>
      </c>
      <c r="J483" s="12" t="str">
        <f t="shared" ref="J483:J546" si="9">B483</f>
        <v>REMUNERACIONES AL PERSONAL DE CARÁCTER TRANSITORIO</v>
      </c>
      <c r="K483" s="11">
        <f t="shared" ref="K483:K546" si="10">H483</f>
        <v>33407595.5</v>
      </c>
      <c r="L483" s="11"/>
      <c r="M483" s="11"/>
    </row>
    <row r="484" spans="1:13" x14ac:dyDescent="0.2">
      <c r="A484" s="130">
        <v>51130</v>
      </c>
      <c r="B484" s="23" t="s">
        <v>447</v>
      </c>
      <c r="C484" s="207">
        <v>1189509554.9200001</v>
      </c>
      <c r="D484" s="207">
        <v>1187024167.75</v>
      </c>
      <c r="E484" s="207">
        <v>1187024167.75</v>
      </c>
      <c r="F484" s="207">
        <v>1239310708.4400001</v>
      </c>
      <c r="G484" s="207">
        <v>26933960.43</v>
      </c>
      <c r="H484" s="10">
        <f t="shared" si="7"/>
        <v>1212376748.01</v>
      </c>
      <c r="I484" s="15">
        <f t="shared" si="8"/>
        <v>2</v>
      </c>
      <c r="J484" s="12" t="str">
        <f t="shared" si="9"/>
        <v>REMUNERACIONES ADICIONALES Y ESPECIALES</v>
      </c>
      <c r="K484" s="11">
        <f t="shared" si="10"/>
        <v>1212376748.01</v>
      </c>
      <c r="L484" s="11"/>
      <c r="M484" s="11"/>
    </row>
    <row r="485" spans="1:13" x14ac:dyDescent="0.2">
      <c r="A485" s="130">
        <v>51140</v>
      </c>
      <c r="B485" s="23" t="s">
        <v>448</v>
      </c>
      <c r="C485" s="207">
        <v>521943970.26999998</v>
      </c>
      <c r="D485" s="207">
        <v>551468283.12</v>
      </c>
      <c r="E485" s="207">
        <v>551468283.12</v>
      </c>
      <c r="F485" s="207">
        <v>579453454.83000004</v>
      </c>
      <c r="G485" s="207">
        <v>7173548.9400000004</v>
      </c>
      <c r="H485" s="10">
        <f t="shared" ref="H485:H548" si="11">ROUND(F485-G485,2)</f>
        <v>572279905.88999999</v>
      </c>
      <c r="I485" s="15">
        <f t="shared" si="8"/>
        <v>2</v>
      </c>
      <c r="J485" s="12" t="str">
        <f t="shared" si="9"/>
        <v>SEGURIDAD SOCIAL</v>
      </c>
      <c r="K485" s="11">
        <f t="shared" si="10"/>
        <v>572279905.88999999</v>
      </c>
      <c r="L485" s="11"/>
      <c r="M485" s="11"/>
    </row>
    <row r="486" spans="1:13" x14ac:dyDescent="0.2">
      <c r="A486" s="130">
        <v>51150</v>
      </c>
      <c r="B486" s="23" t="s">
        <v>449</v>
      </c>
      <c r="C486" s="207">
        <v>681356357.57000005</v>
      </c>
      <c r="D486" s="207">
        <v>688752617.19000006</v>
      </c>
      <c r="E486" s="207">
        <v>688752617.19000006</v>
      </c>
      <c r="F486" s="207">
        <v>664023206.69000006</v>
      </c>
      <c r="G486" s="207">
        <v>13161169.439999999</v>
      </c>
      <c r="H486" s="10">
        <f t="shared" si="11"/>
        <v>650862037.25</v>
      </c>
      <c r="I486" s="15">
        <f t="shared" si="8"/>
        <v>2</v>
      </c>
      <c r="J486" s="12" t="str">
        <f t="shared" si="9"/>
        <v>OTRAS PRESTACIONES SOCIALES Y ECONÓMICAS</v>
      </c>
      <c r="K486" s="11">
        <f t="shared" si="10"/>
        <v>650862037.25</v>
      </c>
      <c r="L486" s="11"/>
      <c r="M486" s="11"/>
    </row>
    <row r="487" spans="1:13" x14ac:dyDescent="0.2">
      <c r="A487" s="130">
        <v>51160</v>
      </c>
      <c r="B487" s="23" t="s">
        <v>450</v>
      </c>
      <c r="C487" s="207">
        <v>1484272763.3299999</v>
      </c>
      <c r="D487" s="207">
        <v>1542126375.51</v>
      </c>
      <c r="E487" s="207">
        <v>1542126375.51</v>
      </c>
      <c r="F487" s="207">
        <v>1741967759.72</v>
      </c>
      <c r="G487" s="207">
        <v>120386945.73999999</v>
      </c>
      <c r="H487" s="10">
        <f t="shared" si="11"/>
        <v>1621580813.98</v>
      </c>
      <c r="I487" s="15">
        <f t="shared" si="8"/>
        <v>3</v>
      </c>
      <c r="J487" s="12" t="str">
        <f t="shared" si="9"/>
        <v>PAGO DE ESTÍMULOS A SERVIDORES PÚBLICOS</v>
      </c>
      <c r="K487" s="11">
        <f t="shared" si="10"/>
        <v>1621580813.98</v>
      </c>
      <c r="L487" s="11"/>
      <c r="M487" s="11"/>
    </row>
    <row r="488" spans="1:13" x14ac:dyDescent="0.2">
      <c r="A488" s="130">
        <v>51210</v>
      </c>
      <c r="B488" s="23" t="s">
        <v>87</v>
      </c>
      <c r="C488" s="207">
        <v>84554659.510000005</v>
      </c>
      <c r="D488" s="207">
        <v>110277646.14</v>
      </c>
      <c r="E488" s="207">
        <v>110277646.14</v>
      </c>
      <c r="F488" s="207">
        <v>437503429.16000003</v>
      </c>
      <c r="G488" s="207">
        <v>284519095.25</v>
      </c>
      <c r="H488" s="10">
        <f t="shared" si="11"/>
        <v>152984333.91</v>
      </c>
      <c r="I488" s="15">
        <f t="shared" si="8"/>
        <v>3</v>
      </c>
      <c r="J488" s="12" t="str">
        <f t="shared" si="9"/>
        <v>MATERIALES DE ADMINISTRACIÓN, EMISIÓN DE DOCUMENTOS Y ARTÍCULOS OFICIALES</v>
      </c>
      <c r="K488" s="11">
        <f t="shared" si="10"/>
        <v>152984333.91</v>
      </c>
      <c r="L488" s="11"/>
      <c r="M488" s="11"/>
    </row>
    <row r="489" spans="1:13" x14ac:dyDescent="0.2">
      <c r="A489" s="130">
        <v>51220</v>
      </c>
      <c r="B489" s="23" t="s">
        <v>88</v>
      </c>
      <c r="C489" s="207">
        <v>40154795.149999999</v>
      </c>
      <c r="D489" s="207">
        <v>28538848.300000001</v>
      </c>
      <c r="E489" s="207">
        <v>28538848.300000001</v>
      </c>
      <c r="F489" s="207">
        <f>39223404.42+0.01</f>
        <v>39223404.43</v>
      </c>
      <c r="G489" s="207">
        <v>9312619.1999999993</v>
      </c>
      <c r="H489" s="10">
        <f>ROUND(F489-G489,2)</f>
        <v>29910785.23</v>
      </c>
      <c r="I489" s="15">
        <f t="shared" si="8"/>
        <v>3</v>
      </c>
      <c r="J489" s="12" t="str">
        <f t="shared" si="9"/>
        <v>ALIMENTOS Y UTENSILIOS</v>
      </c>
      <c r="K489" s="11">
        <f t="shared" si="10"/>
        <v>29910785.23</v>
      </c>
      <c r="L489" s="11"/>
      <c r="M489" s="11"/>
    </row>
    <row r="490" spans="1:13" x14ac:dyDescent="0.2">
      <c r="A490" s="130">
        <v>51230</v>
      </c>
      <c r="B490" s="23" t="s">
        <v>451</v>
      </c>
      <c r="C490" s="207">
        <v>0</v>
      </c>
      <c r="D490" s="207">
        <v>2146.8000000000002</v>
      </c>
      <c r="E490" s="207">
        <v>2146.8000000000002</v>
      </c>
      <c r="F490" s="207">
        <v>9145.33</v>
      </c>
      <c r="G490" s="207">
        <v>4584.8999999999996</v>
      </c>
      <c r="H490" s="10">
        <f t="shared" si="11"/>
        <v>4560.43</v>
      </c>
      <c r="I490" s="15">
        <f t="shared" si="8"/>
        <v>3</v>
      </c>
      <c r="J490" s="12" t="str">
        <f t="shared" si="9"/>
        <v>MATERIAS PRIMAS Y MATERIALES DE PRODUCCIÓN Y COMERCIALIZACIÓN</v>
      </c>
      <c r="K490" s="11">
        <f t="shared" si="10"/>
        <v>4560.43</v>
      </c>
      <c r="L490" s="11"/>
      <c r="M490" s="11"/>
    </row>
    <row r="491" spans="1:13" x14ac:dyDescent="0.2">
      <c r="A491" s="130">
        <v>51240</v>
      </c>
      <c r="B491" s="23" t="s">
        <v>89</v>
      </c>
      <c r="C491" s="207">
        <v>3401562.98</v>
      </c>
      <c r="D491" s="207">
        <v>3875152.86</v>
      </c>
      <c r="E491" s="207">
        <v>3875152.86</v>
      </c>
      <c r="F491" s="207">
        <v>11787428.300000001</v>
      </c>
      <c r="G491" s="207">
        <v>6266567.4299999997</v>
      </c>
      <c r="H491" s="10">
        <f t="shared" si="11"/>
        <v>5520860.8700000001</v>
      </c>
      <c r="I491" s="15">
        <f t="shared" si="8"/>
        <v>3</v>
      </c>
      <c r="J491" s="12" t="str">
        <f t="shared" si="9"/>
        <v>MATERIALES Y ARTÍCULOS DE CONSTRUCCIÓN Y DE REPARACIÓN</v>
      </c>
      <c r="K491" s="11">
        <f t="shared" si="10"/>
        <v>5520860.8700000001</v>
      </c>
      <c r="L491" s="11"/>
      <c r="M491" s="11"/>
    </row>
    <row r="492" spans="1:13" x14ac:dyDescent="0.2">
      <c r="A492" s="130">
        <v>51250</v>
      </c>
      <c r="B492" s="23" t="s">
        <v>90</v>
      </c>
      <c r="C492" s="207">
        <v>226894.12</v>
      </c>
      <c r="D492" s="207">
        <v>157456.69</v>
      </c>
      <c r="E492" s="207">
        <v>157456.69</v>
      </c>
      <c r="F492" s="207">
        <v>394019.41</v>
      </c>
      <c r="G492" s="207">
        <v>165041.95000000001</v>
      </c>
      <c r="H492" s="10">
        <f t="shared" si="11"/>
        <v>228977.46</v>
      </c>
      <c r="I492" s="15">
        <f t="shared" si="8"/>
        <v>3</v>
      </c>
      <c r="J492" s="12" t="str">
        <f t="shared" si="9"/>
        <v>PRODUCTOS QUÍMICOS, FARMACÉUTICOS Y DE LABORATORIO</v>
      </c>
      <c r="K492" s="11">
        <f t="shared" si="10"/>
        <v>228977.46</v>
      </c>
      <c r="L492" s="11"/>
      <c r="M492" s="11"/>
    </row>
    <row r="493" spans="1:13" x14ac:dyDescent="0.2">
      <c r="A493" s="130">
        <v>51260</v>
      </c>
      <c r="B493" s="23" t="s">
        <v>91</v>
      </c>
      <c r="C493" s="207">
        <v>5504817.4900000002</v>
      </c>
      <c r="D493" s="207">
        <v>6642459.7199999997</v>
      </c>
      <c r="E493" s="207">
        <v>6642459.7199999997</v>
      </c>
      <c r="F493" s="207">
        <v>13508858.41</v>
      </c>
      <c r="G493" s="207">
        <v>5968845.71</v>
      </c>
      <c r="H493" s="10">
        <f t="shared" si="11"/>
        <v>7540012.7000000002</v>
      </c>
      <c r="I493" s="15">
        <f t="shared" si="8"/>
        <v>3</v>
      </c>
      <c r="J493" s="12" t="str">
        <f t="shared" si="9"/>
        <v>COMBUSTIBLES, LUBRICANTES Y ADITIVOS</v>
      </c>
      <c r="K493" s="11">
        <f t="shared" si="10"/>
        <v>7540012.7000000002</v>
      </c>
      <c r="L493" s="11"/>
      <c r="M493" s="11"/>
    </row>
    <row r="494" spans="1:13" x14ac:dyDescent="0.2">
      <c r="A494" s="130">
        <v>51270</v>
      </c>
      <c r="B494" s="23" t="s">
        <v>92</v>
      </c>
      <c r="C494" s="207">
        <v>44667189.579999998</v>
      </c>
      <c r="D494" s="207">
        <v>24553590.829999998</v>
      </c>
      <c r="E494" s="207">
        <v>24553590.829999998</v>
      </c>
      <c r="F494" s="207">
        <f>340058524.95</f>
        <v>340058524.94999999</v>
      </c>
      <c r="G494" s="207">
        <v>224040903.19999999</v>
      </c>
      <c r="H494" s="10">
        <f t="shared" si="11"/>
        <v>116017621.75</v>
      </c>
      <c r="I494" s="15">
        <f t="shared" si="8"/>
        <v>3</v>
      </c>
      <c r="J494" s="12" t="str">
        <f t="shared" si="9"/>
        <v>VESTUARIO, BLANCOS, PRENDAS DE PROTECCIÓN Y ARTÍCULOS DEPORTIVOS</v>
      </c>
      <c r="K494" s="11">
        <f t="shared" si="10"/>
        <v>116017621.75</v>
      </c>
      <c r="L494" s="11"/>
      <c r="M494" s="11"/>
    </row>
    <row r="495" spans="1:13" x14ac:dyDescent="0.2">
      <c r="A495" s="130">
        <v>51280</v>
      </c>
      <c r="B495" s="23" t="s">
        <v>452</v>
      </c>
      <c r="C495" s="207">
        <v>0</v>
      </c>
      <c r="D495" s="207">
        <v>0</v>
      </c>
      <c r="E495" s="207">
        <v>0</v>
      </c>
      <c r="F495" s="207">
        <v>0</v>
      </c>
      <c r="G495" s="207">
        <v>0</v>
      </c>
      <c r="H495" s="10">
        <f t="shared" si="11"/>
        <v>0</v>
      </c>
      <c r="I495" s="15">
        <f t="shared" si="8"/>
        <v>3</v>
      </c>
      <c r="J495" s="12" t="str">
        <f t="shared" si="9"/>
        <v>MATERIALES Y SUMINISTROS PARA SEGURIDAD</v>
      </c>
      <c r="K495" s="11">
        <f t="shared" si="10"/>
        <v>0</v>
      </c>
      <c r="L495" s="11"/>
      <c r="M495" s="11"/>
    </row>
    <row r="496" spans="1:13" x14ac:dyDescent="0.2">
      <c r="A496" s="130">
        <v>51290</v>
      </c>
      <c r="B496" s="23" t="s">
        <v>453</v>
      </c>
      <c r="C496" s="207">
        <v>95522.39</v>
      </c>
      <c r="D496" s="207">
        <v>220005.67</v>
      </c>
      <c r="E496" s="207">
        <v>220005.67</v>
      </c>
      <c r="F496" s="207">
        <v>2062238.4</v>
      </c>
      <c r="G496" s="207">
        <v>393812.96</v>
      </c>
      <c r="H496" s="10">
        <f t="shared" si="11"/>
        <v>1668425.44</v>
      </c>
      <c r="I496" s="15">
        <f t="shared" si="8"/>
        <v>3</v>
      </c>
      <c r="J496" s="12" t="str">
        <f t="shared" si="9"/>
        <v>HERRAMIENTAS, REFACCIONES Y ACCESORIOS MENORES</v>
      </c>
      <c r="K496" s="11">
        <f t="shared" si="10"/>
        <v>1668425.44</v>
      </c>
      <c r="L496" s="11"/>
      <c r="M496" s="11"/>
    </row>
    <row r="497" spans="1:13" x14ac:dyDescent="0.2">
      <c r="A497" s="130">
        <v>51310</v>
      </c>
      <c r="B497" s="23" t="s">
        <v>454</v>
      </c>
      <c r="C497" s="207">
        <v>39698102.340000004</v>
      </c>
      <c r="D497" s="207">
        <v>47767085.270000003</v>
      </c>
      <c r="E497" s="207">
        <v>47767085.270000003</v>
      </c>
      <c r="F497" s="207">
        <v>62183181.189999998</v>
      </c>
      <c r="G497" s="207">
        <v>13505605.49</v>
      </c>
      <c r="H497" s="10">
        <f t="shared" si="11"/>
        <v>48677575.700000003</v>
      </c>
      <c r="I497" s="15">
        <f t="shared" si="8"/>
        <v>3</v>
      </c>
      <c r="J497" s="12" t="str">
        <f t="shared" si="9"/>
        <v>SERVICIOS BÁSICOS</v>
      </c>
      <c r="K497" s="11">
        <f t="shared" si="10"/>
        <v>48677575.700000003</v>
      </c>
      <c r="L497" s="11"/>
      <c r="M497" s="11"/>
    </row>
    <row r="498" spans="1:13" x14ac:dyDescent="0.2">
      <c r="A498" s="130">
        <v>51320</v>
      </c>
      <c r="B498" s="23" t="s">
        <v>455</v>
      </c>
      <c r="C498" s="207">
        <v>14039084.789999999</v>
      </c>
      <c r="D498" s="207">
        <v>17850967.859999999</v>
      </c>
      <c r="E498" s="207">
        <v>17850967.859999999</v>
      </c>
      <c r="F498" s="207">
        <v>34027498.240000002</v>
      </c>
      <c r="G498" s="207">
        <v>10464066.42</v>
      </c>
      <c r="H498" s="10">
        <f t="shared" si="11"/>
        <v>23563431.82</v>
      </c>
      <c r="I498" s="15">
        <f t="shared" si="8"/>
        <v>3</v>
      </c>
      <c r="J498" s="12" t="str">
        <f t="shared" si="9"/>
        <v>SERVICIOS DE ARRENDAMIENTO</v>
      </c>
      <c r="K498" s="11">
        <f t="shared" si="10"/>
        <v>23563431.82</v>
      </c>
      <c r="L498" s="11"/>
      <c r="M498" s="11"/>
    </row>
    <row r="499" spans="1:13" x14ac:dyDescent="0.2">
      <c r="A499" s="130">
        <v>51330</v>
      </c>
      <c r="B499" s="23" t="s">
        <v>456</v>
      </c>
      <c r="C499" s="207">
        <v>37404259.640000001</v>
      </c>
      <c r="D499" s="207">
        <v>69664463.439999998</v>
      </c>
      <c r="E499" s="207">
        <v>69664463.439999998</v>
      </c>
      <c r="F499" s="207">
        <v>102739354.70999999</v>
      </c>
      <c r="G499" s="207">
        <v>29610100.18</v>
      </c>
      <c r="H499" s="10">
        <f t="shared" si="11"/>
        <v>73129254.530000001</v>
      </c>
      <c r="I499" s="15">
        <f t="shared" si="8"/>
        <v>3</v>
      </c>
      <c r="J499" s="12" t="str">
        <f t="shared" si="9"/>
        <v>SERVICIOS PROFESIONALES, CIENTÍFICOS Y TÉCNICOS Y OTROS SERVICIOS</v>
      </c>
      <c r="K499" s="11">
        <f t="shared" si="10"/>
        <v>73129254.530000001</v>
      </c>
      <c r="L499" s="11"/>
      <c r="M499" s="11"/>
    </row>
    <row r="500" spans="1:13" x14ac:dyDescent="0.2">
      <c r="A500" s="130">
        <v>51340</v>
      </c>
      <c r="B500" s="23" t="s">
        <v>457</v>
      </c>
      <c r="C500" s="207">
        <v>7913237.4100000001</v>
      </c>
      <c r="D500" s="207">
        <v>10436507.57</v>
      </c>
      <c r="E500" s="207">
        <v>10436507.57</v>
      </c>
      <c r="F500" s="207">
        <v>16001090.08</v>
      </c>
      <c r="G500" s="207">
        <v>4509681.51</v>
      </c>
      <c r="H500" s="10">
        <f t="shared" si="11"/>
        <v>11491408.57</v>
      </c>
      <c r="I500" s="15">
        <f t="shared" si="8"/>
        <v>3</v>
      </c>
      <c r="J500" s="12" t="str">
        <f t="shared" si="9"/>
        <v>SERVICIOS FINANCIEROS, BANCARIOS Y COMERCIALES</v>
      </c>
      <c r="K500" s="11">
        <f t="shared" si="10"/>
        <v>11491408.57</v>
      </c>
      <c r="L500" s="11"/>
      <c r="M500" s="11"/>
    </row>
    <row r="501" spans="1:13" x14ac:dyDescent="0.2">
      <c r="A501" s="130">
        <v>51350</v>
      </c>
      <c r="B501" s="23" t="s">
        <v>458</v>
      </c>
      <c r="C501" s="207">
        <v>38562840.200000003</v>
      </c>
      <c r="D501" s="207">
        <v>36179603.909999996</v>
      </c>
      <c r="E501" s="207">
        <v>36179603.909999996</v>
      </c>
      <c r="F501" s="207">
        <v>67222493.489999995</v>
      </c>
      <c r="G501" s="207">
        <v>8073624.5999999996</v>
      </c>
      <c r="H501" s="10">
        <f t="shared" si="11"/>
        <v>59148868.890000001</v>
      </c>
      <c r="I501" s="15">
        <f t="shared" si="8"/>
        <v>3</v>
      </c>
      <c r="J501" s="12" t="str">
        <f t="shared" si="9"/>
        <v>SERVICIOS DE INSTALACIÓN, REPARACIÓN, MANTENIMIENTO Y CONSERVACIÓN</v>
      </c>
      <c r="K501" s="11">
        <f t="shared" si="10"/>
        <v>59148868.890000001</v>
      </c>
      <c r="L501" s="11"/>
      <c r="M501" s="11"/>
    </row>
    <row r="502" spans="1:13" x14ac:dyDescent="0.2">
      <c r="A502" s="130">
        <v>51360</v>
      </c>
      <c r="B502" s="23" t="s">
        <v>459</v>
      </c>
      <c r="C502" s="207">
        <v>37120</v>
      </c>
      <c r="D502" s="207">
        <v>33262.160000000003</v>
      </c>
      <c r="E502" s="207">
        <v>33262.160000000003</v>
      </c>
      <c r="F502" s="207">
        <v>27313984.329999998</v>
      </c>
      <c r="G502" s="207">
        <v>1308417.01</v>
      </c>
      <c r="H502" s="10">
        <f t="shared" si="11"/>
        <v>26005567.32</v>
      </c>
      <c r="I502" s="15">
        <f t="shared" si="8"/>
        <v>3</v>
      </c>
      <c r="J502" s="12" t="str">
        <f t="shared" si="9"/>
        <v>SERVICIOS DE COMUNICACIÓN SOCIAL Y PUBLICIDAD</v>
      </c>
      <c r="K502" s="11">
        <f t="shared" si="10"/>
        <v>26005567.32</v>
      </c>
      <c r="L502" s="11"/>
      <c r="M502" s="11"/>
    </row>
    <row r="503" spans="1:13" x14ac:dyDescent="0.2">
      <c r="A503" s="130">
        <v>51370</v>
      </c>
      <c r="B503" s="23" t="s">
        <v>460</v>
      </c>
      <c r="C503" s="207">
        <v>5787996.8799999999</v>
      </c>
      <c r="D503" s="207">
        <v>2877040.36</v>
      </c>
      <c r="E503" s="207">
        <v>2877040.36</v>
      </c>
      <c r="F503" s="207">
        <v>4236066.13</v>
      </c>
      <c r="G503" s="207">
        <v>656139.96</v>
      </c>
      <c r="H503" s="10">
        <f t="shared" si="11"/>
        <v>3579926.17</v>
      </c>
      <c r="I503" s="15">
        <f t="shared" si="8"/>
        <v>3</v>
      </c>
      <c r="J503" s="12" t="str">
        <f t="shared" si="9"/>
        <v>SERVICIOS DE TRASLADO Y VIÁTICOS</v>
      </c>
      <c r="K503" s="11">
        <f t="shared" si="10"/>
        <v>3579926.17</v>
      </c>
      <c r="L503" s="11"/>
      <c r="M503" s="11"/>
    </row>
    <row r="504" spans="1:13" x14ac:dyDescent="0.2">
      <c r="A504" s="130">
        <v>51380</v>
      </c>
      <c r="B504" s="23" t="s">
        <v>461</v>
      </c>
      <c r="C504" s="207">
        <v>23488457.579999998</v>
      </c>
      <c r="D504" s="207">
        <v>30900624.25</v>
      </c>
      <c r="E504" s="207">
        <v>30900624.25</v>
      </c>
      <c r="F504" s="207">
        <v>24196586.260000002</v>
      </c>
      <c r="G504" s="207">
        <v>2390416.6800000002</v>
      </c>
      <c r="H504" s="10">
        <f t="shared" si="11"/>
        <v>21806169.579999998</v>
      </c>
      <c r="I504" s="15">
        <f t="shared" si="8"/>
        <v>3</v>
      </c>
      <c r="J504" s="12" t="str">
        <f t="shared" si="9"/>
        <v>SERVICIOS OFICIALES</v>
      </c>
      <c r="K504" s="11">
        <f t="shared" si="10"/>
        <v>21806169.579999998</v>
      </c>
      <c r="L504" s="11"/>
      <c r="M504" s="11"/>
    </row>
    <row r="505" spans="1:13" x14ac:dyDescent="0.2">
      <c r="A505" s="130">
        <v>51390</v>
      </c>
      <c r="B505" s="23" t="s">
        <v>462</v>
      </c>
      <c r="C505" s="207">
        <v>111855513.55</v>
      </c>
      <c r="D505" s="207">
        <v>151203454.91999999</v>
      </c>
      <c r="E505" s="207">
        <v>151203454.91999999</v>
      </c>
      <c r="F505" s="207">
        <v>131033224.27</v>
      </c>
      <c r="G505" s="207">
        <v>15835812.359999999</v>
      </c>
      <c r="H505" s="10">
        <f t="shared" si="11"/>
        <v>115197411.91</v>
      </c>
      <c r="I505" s="15">
        <f t="shared" si="8"/>
        <v>3</v>
      </c>
      <c r="J505" s="12" t="str">
        <f t="shared" si="9"/>
        <v>OTROS SERVICIOS GENERALES</v>
      </c>
      <c r="K505" s="11">
        <f t="shared" si="10"/>
        <v>115197411.91</v>
      </c>
      <c r="L505" s="11"/>
      <c r="M505" s="11"/>
    </row>
    <row r="506" spans="1:13" x14ac:dyDescent="0.2">
      <c r="A506" s="130">
        <v>52110</v>
      </c>
      <c r="B506" s="23" t="s">
        <v>463</v>
      </c>
      <c r="C506" s="207">
        <v>0</v>
      </c>
      <c r="D506" s="207">
        <v>0</v>
      </c>
      <c r="E506" s="207">
        <v>0</v>
      </c>
      <c r="F506" s="207">
        <v>0</v>
      </c>
      <c r="G506" s="207">
        <v>0</v>
      </c>
      <c r="H506" s="10">
        <f t="shared" si="11"/>
        <v>0</v>
      </c>
      <c r="I506" s="15">
        <f t="shared" si="8"/>
        <v>3</v>
      </c>
      <c r="J506" s="12" t="str">
        <f t="shared" si="9"/>
        <v>ASIGNACIONES AL SECTOR PÚBLICO</v>
      </c>
      <c r="K506" s="11">
        <f t="shared" si="10"/>
        <v>0</v>
      </c>
      <c r="L506" s="11"/>
      <c r="M506" s="11"/>
    </row>
    <row r="507" spans="1:13" x14ac:dyDescent="0.2">
      <c r="A507" s="130">
        <v>52120</v>
      </c>
      <c r="B507" s="23" t="s">
        <v>464</v>
      </c>
      <c r="C507" s="207">
        <v>0</v>
      </c>
      <c r="D507" s="207">
        <v>1407867</v>
      </c>
      <c r="E507" s="207">
        <v>1407867</v>
      </c>
      <c r="F507" s="207">
        <v>0</v>
      </c>
      <c r="G507" s="207">
        <v>0</v>
      </c>
      <c r="H507" s="10">
        <f t="shared" si="11"/>
        <v>0</v>
      </c>
      <c r="I507" s="15">
        <f t="shared" si="8"/>
        <v>3</v>
      </c>
      <c r="J507" s="12" t="str">
        <f t="shared" si="9"/>
        <v>TRANSFERENCIAS INTERNAS AL SECTOR PÚBLICO</v>
      </c>
      <c r="K507" s="11">
        <f t="shared" si="10"/>
        <v>0</v>
      </c>
      <c r="L507" s="11"/>
      <c r="M507" s="11"/>
    </row>
    <row r="508" spans="1:13" x14ac:dyDescent="0.2">
      <c r="A508" s="130">
        <v>52210</v>
      </c>
      <c r="B508" s="23" t="s">
        <v>465</v>
      </c>
      <c r="C508" s="207">
        <v>0</v>
      </c>
      <c r="D508" s="207">
        <v>0</v>
      </c>
      <c r="E508" s="207">
        <v>0</v>
      </c>
      <c r="F508" s="207">
        <v>0</v>
      </c>
      <c r="G508" s="207">
        <v>0</v>
      </c>
      <c r="H508" s="10">
        <f t="shared" si="11"/>
        <v>0</v>
      </c>
      <c r="I508" s="15">
        <f t="shared" si="8"/>
        <v>3</v>
      </c>
      <c r="J508" s="12" t="str">
        <f t="shared" si="9"/>
        <v>TRANSFERENCIAS A ENTIDADES PARAESTATALES</v>
      </c>
      <c r="K508" s="11">
        <f t="shared" si="10"/>
        <v>0</v>
      </c>
      <c r="L508" s="11"/>
      <c r="M508" s="11"/>
    </row>
    <row r="509" spans="1:13" x14ac:dyDescent="0.2">
      <c r="A509" s="130">
        <v>52220</v>
      </c>
      <c r="B509" s="23" t="s">
        <v>466</v>
      </c>
      <c r="C509" s="207">
        <v>0</v>
      </c>
      <c r="D509" s="207">
        <v>0</v>
      </c>
      <c r="E509" s="207">
        <v>0</v>
      </c>
      <c r="F509" s="207">
        <v>0</v>
      </c>
      <c r="G509" s="207">
        <v>0</v>
      </c>
      <c r="H509" s="10">
        <f t="shared" si="11"/>
        <v>0</v>
      </c>
      <c r="I509" s="15">
        <f t="shared" si="8"/>
        <v>3</v>
      </c>
      <c r="J509" s="12" t="str">
        <f t="shared" si="9"/>
        <v>TRANSFERENCIAS A ENTIDADES FEDERATIVAS Y MUNICIPIOS</v>
      </c>
      <c r="K509" s="11">
        <f t="shared" si="10"/>
        <v>0</v>
      </c>
      <c r="L509" s="11"/>
      <c r="M509" s="11"/>
    </row>
    <row r="510" spans="1:13" x14ac:dyDescent="0.2">
      <c r="A510" s="130">
        <v>52310</v>
      </c>
      <c r="B510" s="23" t="s">
        <v>467</v>
      </c>
      <c r="C510" s="207">
        <v>0</v>
      </c>
      <c r="D510" s="207">
        <v>0</v>
      </c>
      <c r="E510" s="207">
        <v>0</v>
      </c>
      <c r="F510" s="207">
        <v>0</v>
      </c>
      <c r="G510" s="207">
        <v>0</v>
      </c>
      <c r="H510" s="10">
        <f t="shared" si="11"/>
        <v>0</v>
      </c>
      <c r="I510" s="15">
        <f t="shared" si="8"/>
        <v>3</v>
      </c>
      <c r="J510" s="12" t="str">
        <f t="shared" si="9"/>
        <v>SUBSIDIOS</v>
      </c>
      <c r="K510" s="11">
        <f t="shared" si="10"/>
        <v>0</v>
      </c>
      <c r="L510" s="11"/>
      <c r="M510" s="11"/>
    </row>
    <row r="511" spans="1:13" x14ac:dyDescent="0.2">
      <c r="A511" s="130">
        <v>52320</v>
      </c>
      <c r="B511" s="23" t="s">
        <v>468</v>
      </c>
      <c r="C511" s="207">
        <v>0</v>
      </c>
      <c r="D511" s="207">
        <v>0</v>
      </c>
      <c r="E511" s="207">
        <v>0</v>
      </c>
      <c r="F511" s="207">
        <v>0</v>
      </c>
      <c r="G511" s="207">
        <v>0</v>
      </c>
      <c r="H511" s="10">
        <f t="shared" si="11"/>
        <v>0</v>
      </c>
      <c r="I511" s="15">
        <f t="shared" si="8"/>
        <v>3</v>
      </c>
      <c r="J511" s="12" t="str">
        <f t="shared" si="9"/>
        <v>SUBVENCIONES</v>
      </c>
      <c r="K511" s="11">
        <f t="shared" si="10"/>
        <v>0</v>
      </c>
      <c r="L511" s="11"/>
      <c r="M511" s="11"/>
    </row>
    <row r="512" spans="1:13" x14ac:dyDescent="0.2">
      <c r="A512" s="130">
        <v>52410</v>
      </c>
      <c r="B512" s="23" t="s">
        <v>469</v>
      </c>
      <c r="C512" s="207">
        <v>0</v>
      </c>
      <c r="D512" s="207">
        <v>0</v>
      </c>
      <c r="E512" s="207">
        <v>0</v>
      </c>
      <c r="F512" s="207">
        <v>0</v>
      </c>
      <c r="G512" s="207">
        <v>0</v>
      </c>
      <c r="H512" s="10">
        <f t="shared" si="11"/>
        <v>0</v>
      </c>
      <c r="I512" s="15">
        <f t="shared" si="8"/>
        <v>3</v>
      </c>
      <c r="J512" s="12" t="str">
        <f t="shared" si="9"/>
        <v>AYUDAS SOCIALES A PERSONAS</v>
      </c>
      <c r="K512" s="11">
        <f t="shared" si="10"/>
        <v>0</v>
      </c>
      <c r="L512" s="11"/>
      <c r="M512" s="11"/>
    </row>
    <row r="513" spans="1:13" x14ac:dyDescent="0.2">
      <c r="A513" s="130">
        <v>52420</v>
      </c>
      <c r="B513" s="23" t="s">
        <v>470</v>
      </c>
      <c r="C513" s="207">
        <v>2231500</v>
      </c>
      <c r="D513" s="207">
        <v>2605500</v>
      </c>
      <c r="E513" s="207">
        <v>2605500</v>
      </c>
      <c r="F513" s="207">
        <v>2646450</v>
      </c>
      <c r="G513" s="207">
        <v>410700</v>
      </c>
      <c r="H513" s="10">
        <f t="shared" si="11"/>
        <v>2235750</v>
      </c>
      <c r="I513" s="15">
        <f t="shared" si="8"/>
        <v>3</v>
      </c>
      <c r="J513" s="12" t="str">
        <f t="shared" si="9"/>
        <v>BECAS</v>
      </c>
      <c r="K513" s="11">
        <f t="shared" si="10"/>
        <v>2235750</v>
      </c>
      <c r="L513" s="11"/>
      <c r="M513" s="11"/>
    </row>
    <row r="514" spans="1:13" x14ac:dyDescent="0.2">
      <c r="A514" s="130">
        <v>52430</v>
      </c>
      <c r="B514" s="23" t="s">
        <v>471</v>
      </c>
      <c r="C514" s="207">
        <v>98614821.519999996</v>
      </c>
      <c r="D514" s="207">
        <v>76670543.329999998</v>
      </c>
      <c r="E514" s="207">
        <v>76670543.329999998</v>
      </c>
      <c r="F514" s="207">
        <v>169578170.93000001</v>
      </c>
      <c r="G514" s="207">
        <v>65582574.200000003</v>
      </c>
      <c r="H514" s="10">
        <f t="shared" si="11"/>
        <v>103995596.73</v>
      </c>
      <c r="I514" s="15">
        <f t="shared" ref="I514:I545" si="12">IF(H514&gt;=(SUM($H$482:$H$611)*0.1),I513+1,I513+0)</f>
        <v>3</v>
      </c>
      <c r="J514" s="12" t="str">
        <f t="shared" si="9"/>
        <v>AYUDAS SOCIALES A INSTITUCIONES</v>
      </c>
      <c r="K514" s="11">
        <f t="shared" si="10"/>
        <v>103995596.73</v>
      </c>
      <c r="L514" s="11"/>
      <c r="M514" s="11"/>
    </row>
    <row r="515" spans="1:13" x14ac:dyDescent="0.2">
      <c r="A515" s="130">
        <v>52440</v>
      </c>
      <c r="B515" s="23" t="s">
        <v>472</v>
      </c>
      <c r="C515" s="207">
        <v>0</v>
      </c>
      <c r="D515" s="207">
        <v>0</v>
      </c>
      <c r="E515" s="207">
        <v>0</v>
      </c>
      <c r="F515" s="207">
        <v>0</v>
      </c>
      <c r="G515" s="207">
        <v>0</v>
      </c>
      <c r="H515" s="10">
        <f t="shared" si="11"/>
        <v>0</v>
      </c>
      <c r="I515" s="15">
        <f t="shared" si="12"/>
        <v>3</v>
      </c>
      <c r="J515" s="12" t="str">
        <f t="shared" si="9"/>
        <v>AYUDAS SOCIALES POR DESASTRES NATURALES Y OTROS SINIESTROS</v>
      </c>
      <c r="K515" s="11">
        <f t="shared" si="10"/>
        <v>0</v>
      </c>
      <c r="L515" s="11"/>
      <c r="M515" s="11"/>
    </row>
    <row r="516" spans="1:13" x14ac:dyDescent="0.2">
      <c r="A516" s="130">
        <v>52510</v>
      </c>
      <c r="B516" s="23" t="s">
        <v>473</v>
      </c>
      <c r="C516" s="207">
        <v>42676532.740000002</v>
      </c>
      <c r="D516" s="207">
        <v>61477935.490000002</v>
      </c>
      <c r="E516" s="207">
        <v>61477935.490000002</v>
      </c>
      <c r="F516" s="207">
        <v>98698871.269999996</v>
      </c>
      <c r="G516" s="207">
        <v>28350946.5</v>
      </c>
      <c r="H516" s="10">
        <f t="shared" si="11"/>
        <v>70347924.769999996</v>
      </c>
      <c r="I516" s="15">
        <f t="shared" si="12"/>
        <v>3</v>
      </c>
      <c r="J516" s="12" t="str">
        <f t="shared" si="9"/>
        <v>PENSIONES</v>
      </c>
      <c r="K516" s="11">
        <f t="shared" si="10"/>
        <v>70347924.769999996</v>
      </c>
      <c r="L516" s="11"/>
      <c r="M516" s="11"/>
    </row>
    <row r="517" spans="1:13" x14ac:dyDescent="0.2">
      <c r="A517" s="130">
        <v>52520</v>
      </c>
      <c r="B517" s="23" t="s">
        <v>474</v>
      </c>
      <c r="C517" s="207">
        <v>0</v>
      </c>
      <c r="D517" s="207">
        <v>0</v>
      </c>
      <c r="E517" s="207">
        <v>0</v>
      </c>
      <c r="F517" s="207">
        <v>0</v>
      </c>
      <c r="G517" s="207">
        <v>0</v>
      </c>
      <c r="H517" s="10">
        <f t="shared" si="11"/>
        <v>0</v>
      </c>
      <c r="I517" s="15">
        <f t="shared" si="12"/>
        <v>3</v>
      </c>
      <c r="J517" s="12" t="str">
        <f t="shared" si="9"/>
        <v xml:space="preserve"> JUBILACIONES</v>
      </c>
      <c r="K517" s="11">
        <f t="shared" si="10"/>
        <v>0</v>
      </c>
      <c r="L517" s="11"/>
      <c r="M517" s="11"/>
    </row>
    <row r="518" spans="1:13" x14ac:dyDescent="0.2">
      <c r="A518" s="130">
        <v>52590</v>
      </c>
      <c r="B518" s="23" t="s">
        <v>475</v>
      </c>
      <c r="C518" s="207">
        <v>0</v>
      </c>
      <c r="D518" s="207">
        <v>0</v>
      </c>
      <c r="E518" s="207">
        <v>0</v>
      </c>
      <c r="F518" s="207">
        <v>0</v>
      </c>
      <c r="G518" s="207">
        <v>0</v>
      </c>
      <c r="H518" s="10">
        <f t="shared" si="11"/>
        <v>0</v>
      </c>
      <c r="I518" s="15">
        <f t="shared" si="12"/>
        <v>3</v>
      </c>
      <c r="J518" s="12" t="str">
        <f t="shared" si="9"/>
        <v>OTRAS PENSIONES Y JUBILACIONES</v>
      </c>
      <c r="K518" s="11">
        <f t="shared" si="10"/>
        <v>0</v>
      </c>
      <c r="L518" s="11"/>
      <c r="M518" s="11"/>
    </row>
    <row r="519" spans="1:13" x14ac:dyDescent="0.2">
      <c r="A519" s="130">
        <v>52610</v>
      </c>
      <c r="B519" s="23" t="s">
        <v>476</v>
      </c>
      <c r="C519" s="207">
        <v>0</v>
      </c>
      <c r="D519" s="207">
        <v>0</v>
      </c>
      <c r="E519" s="207">
        <v>0</v>
      </c>
      <c r="F519" s="207">
        <v>0</v>
      </c>
      <c r="G519" s="207">
        <v>0</v>
      </c>
      <c r="H519" s="10">
        <f t="shared" si="11"/>
        <v>0</v>
      </c>
      <c r="I519" s="15">
        <f t="shared" si="12"/>
        <v>3</v>
      </c>
      <c r="J519" s="12" t="str">
        <f t="shared" si="9"/>
        <v>TRANSFERENCIAS A FIDEICOMISOS, MANDATOS Y CONTRATOS ANÁLOGOS AL GOBIERNO</v>
      </c>
      <c r="K519" s="11">
        <f t="shared" si="10"/>
        <v>0</v>
      </c>
      <c r="L519" s="11"/>
      <c r="M519" s="11"/>
    </row>
    <row r="520" spans="1:13" x14ac:dyDescent="0.2">
      <c r="A520" s="130">
        <v>52620</v>
      </c>
      <c r="B520" s="23" t="s">
        <v>477</v>
      </c>
      <c r="C520" s="207">
        <v>0</v>
      </c>
      <c r="D520" s="207">
        <v>0</v>
      </c>
      <c r="E520" s="207">
        <v>0</v>
      </c>
      <c r="F520" s="207">
        <v>0</v>
      </c>
      <c r="G520" s="207">
        <v>0</v>
      </c>
      <c r="H520" s="10">
        <f t="shared" si="11"/>
        <v>0</v>
      </c>
      <c r="I520" s="15">
        <f t="shared" si="12"/>
        <v>3</v>
      </c>
      <c r="J520" s="12" t="str">
        <f t="shared" si="9"/>
        <v>TRANSFERENCIAS A FIDEICOMISOS, MANDATOS Y CONTRATOS ANÁLOGOS A ENTIDADES PARAESTATALES</v>
      </c>
      <c r="K520" s="11">
        <f t="shared" si="10"/>
        <v>0</v>
      </c>
      <c r="L520" s="11"/>
      <c r="M520" s="11"/>
    </row>
    <row r="521" spans="1:13" x14ac:dyDescent="0.2">
      <c r="A521" s="130">
        <v>52710</v>
      </c>
      <c r="B521" s="23" t="s">
        <v>478</v>
      </c>
      <c r="C521" s="207">
        <v>0</v>
      </c>
      <c r="D521" s="207">
        <v>0</v>
      </c>
      <c r="E521" s="207">
        <v>0</v>
      </c>
      <c r="F521" s="207">
        <v>0</v>
      </c>
      <c r="G521" s="207">
        <v>0</v>
      </c>
      <c r="H521" s="10">
        <f t="shared" si="11"/>
        <v>0</v>
      </c>
      <c r="I521" s="15">
        <f t="shared" si="12"/>
        <v>3</v>
      </c>
      <c r="J521" s="12" t="str">
        <f t="shared" si="9"/>
        <v>TRANSFERENCIAS POR OBLIGACIONES DE LEY</v>
      </c>
      <c r="K521" s="11">
        <f t="shared" si="10"/>
        <v>0</v>
      </c>
      <c r="L521" s="11"/>
      <c r="M521" s="11"/>
    </row>
    <row r="522" spans="1:13" x14ac:dyDescent="0.2">
      <c r="A522" s="130">
        <v>52810</v>
      </c>
      <c r="B522" s="23" t="s">
        <v>479</v>
      </c>
      <c r="C522" s="207">
        <v>0</v>
      </c>
      <c r="D522" s="207">
        <v>0</v>
      </c>
      <c r="E522" s="207">
        <v>0</v>
      </c>
      <c r="F522" s="207">
        <v>0</v>
      </c>
      <c r="G522" s="207">
        <v>0</v>
      </c>
      <c r="H522" s="10">
        <f t="shared" si="11"/>
        <v>0</v>
      </c>
      <c r="I522" s="15">
        <f t="shared" si="12"/>
        <v>3</v>
      </c>
      <c r="J522" s="12" t="str">
        <f t="shared" si="9"/>
        <v>DONATIVOS A INSTITUCIONES SIN FINES DE LUCRO</v>
      </c>
      <c r="K522" s="11">
        <f t="shared" si="10"/>
        <v>0</v>
      </c>
      <c r="L522" s="11"/>
      <c r="M522" s="11"/>
    </row>
    <row r="523" spans="1:13" x14ac:dyDescent="0.2">
      <c r="A523" s="130">
        <v>52820</v>
      </c>
      <c r="B523" s="23" t="s">
        <v>480</v>
      </c>
      <c r="C523" s="207">
        <v>0</v>
      </c>
      <c r="D523" s="207">
        <v>0</v>
      </c>
      <c r="E523" s="207">
        <v>0</v>
      </c>
      <c r="F523" s="207">
        <v>0</v>
      </c>
      <c r="G523" s="207">
        <v>0</v>
      </c>
      <c r="H523" s="10">
        <f t="shared" si="11"/>
        <v>0</v>
      </c>
      <c r="I523" s="15">
        <f t="shared" si="12"/>
        <v>3</v>
      </c>
      <c r="J523" s="12" t="str">
        <f t="shared" si="9"/>
        <v>DONATIVOS A ENTIDADES FEDERATIVAS Y MUNICIPIOS</v>
      </c>
      <c r="K523" s="11">
        <f t="shared" si="10"/>
        <v>0</v>
      </c>
      <c r="L523" s="11"/>
      <c r="M523" s="11"/>
    </row>
    <row r="524" spans="1:13" x14ac:dyDescent="0.2">
      <c r="A524" s="130">
        <v>52830</v>
      </c>
      <c r="B524" s="23" t="s">
        <v>481</v>
      </c>
      <c r="C524" s="207">
        <v>0</v>
      </c>
      <c r="D524" s="207">
        <v>0</v>
      </c>
      <c r="E524" s="207">
        <v>0</v>
      </c>
      <c r="F524" s="207">
        <v>0</v>
      </c>
      <c r="G524" s="207">
        <v>0</v>
      </c>
      <c r="H524" s="10">
        <f t="shared" si="11"/>
        <v>0</v>
      </c>
      <c r="I524" s="15">
        <f t="shared" si="12"/>
        <v>3</v>
      </c>
      <c r="J524" s="12" t="str">
        <f t="shared" si="9"/>
        <v>DONATIVOS A FIDEICOMISO, MANDATOS Y CONTRATOS ANALOGOS PRIVADOS</v>
      </c>
      <c r="K524" s="11">
        <f t="shared" si="10"/>
        <v>0</v>
      </c>
      <c r="L524" s="11"/>
      <c r="M524" s="11"/>
    </row>
    <row r="525" spans="1:13" x14ac:dyDescent="0.2">
      <c r="A525" s="130">
        <v>52840</v>
      </c>
      <c r="B525" s="23" t="s">
        <v>482</v>
      </c>
      <c r="C525" s="207">
        <v>0</v>
      </c>
      <c r="D525" s="207">
        <v>0</v>
      </c>
      <c r="E525" s="207">
        <v>0</v>
      </c>
      <c r="F525" s="207">
        <v>0</v>
      </c>
      <c r="G525" s="207">
        <v>0</v>
      </c>
      <c r="H525" s="10">
        <f t="shared" si="11"/>
        <v>0</v>
      </c>
      <c r="I525" s="15">
        <f t="shared" si="12"/>
        <v>3</v>
      </c>
      <c r="J525" s="12" t="str">
        <f t="shared" si="9"/>
        <v>DONATIVOS A FIDEICOMISO, MANDATOS Y CONTRATOS ANALOGOS ESTATALES</v>
      </c>
      <c r="K525" s="11">
        <f t="shared" si="10"/>
        <v>0</v>
      </c>
      <c r="L525" s="11"/>
      <c r="M525" s="11"/>
    </row>
    <row r="526" spans="1:13" x14ac:dyDescent="0.2">
      <c r="A526" s="130">
        <v>52850</v>
      </c>
      <c r="B526" s="23" t="s">
        <v>483</v>
      </c>
      <c r="C526" s="207">
        <v>0</v>
      </c>
      <c r="D526" s="207">
        <v>0</v>
      </c>
      <c r="E526" s="207">
        <v>0</v>
      </c>
      <c r="F526" s="207">
        <v>0</v>
      </c>
      <c r="G526" s="207">
        <v>0</v>
      </c>
      <c r="H526" s="10">
        <f t="shared" si="11"/>
        <v>0</v>
      </c>
      <c r="I526" s="15">
        <f t="shared" si="12"/>
        <v>3</v>
      </c>
      <c r="J526" s="12" t="str">
        <f t="shared" si="9"/>
        <v>DONATIVOS INTERNACIONALES</v>
      </c>
      <c r="K526" s="11">
        <f t="shared" si="10"/>
        <v>0</v>
      </c>
      <c r="L526" s="11"/>
      <c r="M526" s="11"/>
    </row>
    <row r="527" spans="1:13" x14ac:dyDescent="0.2">
      <c r="A527" s="130">
        <v>52910</v>
      </c>
      <c r="B527" s="23" t="s">
        <v>484</v>
      </c>
      <c r="C527" s="207">
        <v>0</v>
      </c>
      <c r="D527" s="207">
        <v>0</v>
      </c>
      <c r="E527" s="207">
        <v>0</v>
      </c>
      <c r="F527" s="207">
        <v>0</v>
      </c>
      <c r="G527" s="207">
        <v>0</v>
      </c>
      <c r="H527" s="10">
        <f t="shared" si="11"/>
        <v>0</v>
      </c>
      <c r="I527" s="15">
        <f t="shared" si="12"/>
        <v>3</v>
      </c>
      <c r="J527" s="12" t="str">
        <f t="shared" si="9"/>
        <v>TRANSFERENCIAS AL EXTERIOR A GOBIERNOS EXTRANJEROS Y ORGANISMOS INTERNACIONALES</v>
      </c>
      <c r="K527" s="11">
        <f t="shared" si="10"/>
        <v>0</v>
      </c>
      <c r="L527" s="11"/>
      <c r="M527" s="11"/>
    </row>
    <row r="528" spans="1:13" x14ac:dyDescent="0.2">
      <c r="A528" s="130">
        <v>52920</v>
      </c>
      <c r="B528" s="23" t="s">
        <v>485</v>
      </c>
      <c r="C528" s="207">
        <v>0</v>
      </c>
      <c r="D528" s="207">
        <v>0</v>
      </c>
      <c r="E528" s="207">
        <v>0</v>
      </c>
      <c r="F528" s="207">
        <v>0</v>
      </c>
      <c r="G528" s="207">
        <v>0</v>
      </c>
      <c r="H528" s="10">
        <f t="shared" si="11"/>
        <v>0</v>
      </c>
      <c r="I528" s="15">
        <f t="shared" si="12"/>
        <v>3</v>
      </c>
      <c r="J528" s="12" t="str">
        <f t="shared" si="9"/>
        <v>TRANSFERENCIAS AL SECTOR PRIVADO EXTERNO</v>
      </c>
      <c r="K528" s="11">
        <f t="shared" si="10"/>
        <v>0</v>
      </c>
      <c r="L528" s="11"/>
      <c r="M528" s="11"/>
    </row>
    <row r="529" spans="1:13" x14ac:dyDescent="0.2">
      <c r="A529" s="130">
        <v>53110</v>
      </c>
      <c r="B529" s="23" t="s">
        <v>486</v>
      </c>
      <c r="C529" s="207">
        <v>0</v>
      </c>
      <c r="D529" s="207">
        <v>0</v>
      </c>
      <c r="E529" s="207">
        <v>0</v>
      </c>
      <c r="F529" s="207">
        <v>0</v>
      </c>
      <c r="G529" s="207">
        <v>0</v>
      </c>
      <c r="H529" s="10">
        <f t="shared" si="11"/>
        <v>0</v>
      </c>
      <c r="I529" s="15">
        <f t="shared" si="12"/>
        <v>3</v>
      </c>
      <c r="J529" s="12" t="str">
        <f t="shared" si="9"/>
        <v>PARTICIPACIONES DE LA FEDERACIÓN A ENTIDADES FEDERATIVAS Y MUNICIPIOS</v>
      </c>
      <c r="K529" s="11">
        <f t="shared" si="10"/>
        <v>0</v>
      </c>
      <c r="L529" s="11"/>
      <c r="M529" s="11"/>
    </row>
    <row r="530" spans="1:13" x14ac:dyDescent="0.2">
      <c r="A530" s="130">
        <v>53120</v>
      </c>
      <c r="B530" s="23" t="s">
        <v>487</v>
      </c>
      <c r="C530" s="207">
        <v>0</v>
      </c>
      <c r="D530" s="207">
        <v>0</v>
      </c>
      <c r="E530" s="207">
        <v>0</v>
      </c>
      <c r="F530" s="207">
        <v>0</v>
      </c>
      <c r="G530" s="207">
        <v>0</v>
      </c>
      <c r="H530" s="10">
        <f t="shared" si="11"/>
        <v>0</v>
      </c>
      <c r="I530" s="15">
        <f t="shared" si="12"/>
        <v>3</v>
      </c>
      <c r="J530" s="12" t="str">
        <f t="shared" si="9"/>
        <v>PARTICIPACIONES DE LAS ENTIDADES FEDERATIVAS A LOS MUNICIPIOS</v>
      </c>
      <c r="K530" s="11">
        <f t="shared" si="10"/>
        <v>0</v>
      </c>
      <c r="L530" s="11"/>
      <c r="M530" s="11"/>
    </row>
    <row r="531" spans="1:13" x14ac:dyDescent="0.2">
      <c r="A531" s="130">
        <v>53210</v>
      </c>
      <c r="B531" s="23" t="s">
        <v>488</v>
      </c>
      <c r="C531" s="207">
        <v>0</v>
      </c>
      <c r="D531" s="207">
        <v>0</v>
      </c>
      <c r="E531" s="207">
        <v>0</v>
      </c>
      <c r="F531" s="207">
        <v>0</v>
      </c>
      <c r="G531" s="207">
        <v>0</v>
      </c>
      <c r="H531" s="10">
        <f t="shared" si="11"/>
        <v>0</v>
      </c>
      <c r="I531" s="15">
        <f t="shared" si="12"/>
        <v>3</v>
      </c>
      <c r="J531" s="12" t="str">
        <f t="shared" si="9"/>
        <v>APORTACIONES DE LA FEDERACIÓN A ENTIDADES FEDERATIVAS Y MUNICIPIOS</v>
      </c>
      <c r="K531" s="11">
        <f t="shared" si="10"/>
        <v>0</v>
      </c>
      <c r="L531" s="11"/>
      <c r="M531" s="11"/>
    </row>
    <row r="532" spans="1:13" x14ac:dyDescent="0.2">
      <c r="A532" s="130">
        <v>53220</v>
      </c>
      <c r="B532" s="23" t="s">
        <v>489</v>
      </c>
      <c r="C532" s="207">
        <v>0</v>
      </c>
      <c r="D532" s="207">
        <v>0</v>
      </c>
      <c r="E532" s="207">
        <v>0</v>
      </c>
      <c r="F532" s="207">
        <v>0</v>
      </c>
      <c r="G532" s="207">
        <v>0</v>
      </c>
      <c r="H532" s="10">
        <f t="shared" si="11"/>
        <v>0</v>
      </c>
      <c r="I532" s="15">
        <f t="shared" si="12"/>
        <v>3</v>
      </c>
      <c r="J532" s="12" t="str">
        <f t="shared" si="9"/>
        <v>APORTACIONES DE LAS ENTIDADES FEDERATIVAS A LOS MUNICIPIOS</v>
      </c>
      <c r="K532" s="11">
        <f t="shared" si="10"/>
        <v>0</v>
      </c>
      <c r="L532" s="11"/>
      <c r="M532" s="11"/>
    </row>
    <row r="533" spans="1:13" x14ac:dyDescent="0.2">
      <c r="A533" s="130">
        <v>53310</v>
      </c>
      <c r="B533" s="23" t="s">
        <v>490</v>
      </c>
      <c r="C533" s="207">
        <v>0</v>
      </c>
      <c r="D533" s="207">
        <v>0</v>
      </c>
      <c r="E533" s="207">
        <v>0</v>
      </c>
      <c r="F533" s="207">
        <v>0</v>
      </c>
      <c r="G533" s="207">
        <v>0</v>
      </c>
      <c r="H533" s="10">
        <f t="shared" si="11"/>
        <v>0</v>
      </c>
      <c r="I533" s="15">
        <f t="shared" si="12"/>
        <v>3</v>
      </c>
      <c r="J533" s="12" t="str">
        <f t="shared" si="9"/>
        <v>CONVENIOS DE REASIGNACIÓN</v>
      </c>
      <c r="K533" s="11">
        <f t="shared" si="10"/>
        <v>0</v>
      </c>
      <c r="L533" s="11"/>
      <c r="M533" s="11"/>
    </row>
    <row r="534" spans="1:13" x14ac:dyDescent="0.2">
      <c r="A534" s="130">
        <v>53320</v>
      </c>
      <c r="B534" s="23" t="s">
        <v>491</v>
      </c>
      <c r="C534" s="207">
        <v>0</v>
      </c>
      <c r="D534" s="207">
        <v>0</v>
      </c>
      <c r="E534" s="207">
        <v>0</v>
      </c>
      <c r="F534" s="207">
        <v>0</v>
      </c>
      <c r="G534" s="207">
        <v>0</v>
      </c>
      <c r="H534" s="10">
        <f t="shared" si="11"/>
        <v>0</v>
      </c>
      <c r="I534" s="15">
        <f t="shared" si="12"/>
        <v>3</v>
      </c>
      <c r="J534" s="12" t="str">
        <f t="shared" si="9"/>
        <v>CONVENIOS DE DESCENTRALIZACIÓN Y OTROS</v>
      </c>
      <c r="K534" s="11">
        <f t="shared" si="10"/>
        <v>0</v>
      </c>
      <c r="L534" s="11"/>
      <c r="M534" s="11"/>
    </row>
    <row r="535" spans="1:13" x14ac:dyDescent="0.2">
      <c r="A535" s="130">
        <v>54110</v>
      </c>
      <c r="B535" s="23" t="s">
        <v>492</v>
      </c>
      <c r="C535" s="207">
        <v>0</v>
      </c>
      <c r="D535" s="207">
        <v>0</v>
      </c>
      <c r="E535" s="207">
        <v>0</v>
      </c>
      <c r="F535" s="207">
        <v>0</v>
      </c>
      <c r="G535" s="207">
        <v>0</v>
      </c>
      <c r="H535" s="10">
        <f t="shared" si="11"/>
        <v>0</v>
      </c>
      <c r="I535" s="15">
        <f t="shared" si="12"/>
        <v>3</v>
      </c>
      <c r="J535" s="12" t="str">
        <f t="shared" si="9"/>
        <v>INTERESES DE LA DEUDA PÚBLICA INTERNA</v>
      </c>
      <c r="K535" s="11">
        <f t="shared" si="10"/>
        <v>0</v>
      </c>
      <c r="L535" s="11"/>
      <c r="M535" s="11"/>
    </row>
    <row r="536" spans="1:13" x14ac:dyDescent="0.2">
      <c r="A536" s="130">
        <v>54120</v>
      </c>
      <c r="B536" s="23" t="s">
        <v>493</v>
      </c>
      <c r="C536" s="207">
        <v>0</v>
      </c>
      <c r="D536" s="207">
        <v>0</v>
      </c>
      <c r="E536" s="207">
        <v>0</v>
      </c>
      <c r="F536" s="207">
        <v>0</v>
      </c>
      <c r="G536" s="207">
        <v>0</v>
      </c>
      <c r="H536" s="10">
        <f t="shared" si="11"/>
        <v>0</v>
      </c>
      <c r="I536" s="15">
        <f t="shared" si="12"/>
        <v>3</v>
      </c>
      <c r="J536" s="12" t="str">
        <f t="shared" si="9"/>
        <v>INTERESES DE LA DEUDA PÚBLICA EXTERNA</v>
      </c>
      <c r="K536" s="11">
        <f t="shared" si="10"/>
        <v>0</v>
      </c>
      <c r="L536" s="11"/>
      <c r="M536" s="11"/>
    </row>
    <row r="537" spans="1:13" x14ac:dyDescent="0.2">
      <c r="A537" s="130">
        <v>54210</v>
      </c>
      <c r="B537" s="23" t="s">
        <v>494</v>
      </c>
      <c r="C537" s="207">
        <v>0</v>
      </c>
      <c r="D537" s="207">
        <v>0</v>
      </c>
      <c r="E537" s="207">
        <v>0</v>
      </c>
      <c r="F537" s="207">
        <v>0</v>
      </c>
      <c r="G537" s="207">
        <v>0</v>
      </c>
      <c r="H537" s="10">
        <f t="shared" si="11"/>
        <v>0</v>
      </c>
      <c r="I537" s="15">
        <f t="shared" si="12"/>
        <v>3</v>
      </c>
      <c r="J537" s="12" t="str">
        <f t="shared" si="9"/>
        <v>COMISIONES DE LA DEUDA PÚBLICA INTERNA</v>
      </c>
      <c r="K537" s="11">
        <f t="shared" si="10"/>
        <v>0</v>
      </c>
      <c r="L537" s="11"/>
      <c r="M537" s="11"/>
    </row>
    <row r="538" spans="1:13" x14ac:dyDescent="0.2">
      <c r="A538" s="130">
        <v>54220</v>
      </c>
      <c r="B538" s="23" t="s">
        <v>495</v>
      </c>
      <c r="C538" s="207">
        <v>0</v>
      </c>
      <c r="D538" s="207">
        <v>0</v>
      </c>
      <c r="E538" s="207">
        <v>0</v>
      </c>
      <c r="F538" s="207">
        <v>0</v>
      </c>
      <c r="G538" s="207">
        <v>0</v>
      </c>
      <c r="H538" s="10">
        <f t="shared" si="11"/>
        <v>0</v>
      </c>
      <c r="I538" s="15">
        <f t="shared" si="12"/>
        <v>3</v>
      </c>
      <c r="J538" s="12" t="str">
        <f t="shared" si="9"/>
        <v>COMISIONES DE LA DEUDA PÚBLICA EXTERNA</v>
      </c>
      <c r="K538" s="11">
        <f t="shared" si="10"/>
        <v>0</v>
      </c>
      <c r="L538" s="11"/>
      <c r="M538" s="11"/>
    </row>
    <row r="539" spans="1:13" x14ac:dyDescent="0.2">
      <c r="A539" s="130">
        <v>54310</v>
      </c>
      <c r="B539" s="23" t="s">
        <v>496</v>
      </c>
      <c r="C539" s="207">
        <v>0</v>
      </c>
      <c r="D539" s="207">
        <v>0</v>
      </c>
      <c r="E539" s="207">
        <v>0</v>
      </c>
      <c r="F539" s="207">
        <v>0</v>
      </c>
      <c r="G539" s="207">
        <v>0</v>
      </c>
      <c r="H539" s="10">
        <f t="shared" si="11"/>
        <v>0</v>
      </c>
      <c r="I539" s="15">
        <f t="shared" si="12"/>
        <v>3</v>
      </c>
      <c r="J539" s="12" t="str">
        <f t="shared" si="9"/>
        <v>GASTOS DE LA DEUDA PÚBLICA INTERNA</v>
      </c>
      <c r="K539" s="11">
        <f t="shared" si="10"/>
        <v>0</v>
      </c>
      <c r="L539" s="11"/>
      <c r="M539" s="11"/>
    </row>
    <row r="540" spans="1:13" x14ac:dyDescent="0.2">
      <c r="A540" s="130">
        <v>54320</v>
      </c>
      <c r="B540" s="23" t="s">
        <v>497</v>
      </c>
      <c r="C540" s="207">
        <v>0</v>
      </c>
      <c r="D540" s="207">
        <v>0</v>
      </c>
      <c r="E540" s="207">
        <v>0</v>
      </c>
      <c r="F540" s="207">
        <v>0</v>
      </c>
      <c r="G540" s="207">
        <v>0</v>
      </c>
      <c r="H540" s="10">
        <f t="shared" si="11"/>
        <v>0</v>
      </c>
      <c r="I540" s="15">
        <f t="shared" si="12"/>
        <v>3</v>
      </c>
      <c r="J540" s="12" t="str">
        <f t="shared" si="9"/>
        <v>GASTOS DE LA DEUDA PÚBLICA EXTERNA</v>
      </c>
      <c r="K540" s="11">
        <f t="shared" si="10"/>
        <v>0</v>
      </c>
      <c r="L540" s="11"/>
      <c r="M540" s="11"/>
    </row>
    <row r="541" spans="1:13" x14ac:dyDescent="0.2">
      <c r="A541" s="130">
        <v>54410</v>
      </c>
      <c r="B541" s="23" t="s">
        <v>498</v>
      </c>
      <c r="C541" s="207">
        <v>0</v>
      </c>
      <c r="D541" s="207">
        <v>0</v>
      </c>
      <c r="E541" s="207">
        <v>0</v>
      </c>
      <c r="F541" s="207">
        <v>0</v>
      </c>
      <c r="G541" s="207">
        <v>0</v>
      </c>
      <c r="H541" s="10">
        <f t="shared" si="11"/>
        <v>0</v>
      </c>
      <c r="I541" s="15">
        <f t="shared" si="12"/>
        <v>3</v>
      </c>
      <c r="J541" s="12" t="str">
        <f t="shared" si="9"/>
        <v>COSTO POR COBERTURAS</v>
      </c>
      <c r="K541" s="11">
        <f t="shared" si="10"/>
        <v>0</v>
      </c>
      <c r="L541" s="11"/>
      <c r="M541" s="11"/>
    </row>
    <row r="542" spans="1:13" x14ac:dyDescent="0.2">
      <c r="A542" s="130">
        <v>54510</v>
      </c>
      <c r="B542" s="23" t="s">
        <v>499</v>
      </c>
      <c r="C542" s="207">
        <v>0</v>
      </c>
      <c r="D542" s="207">
        <v>0</v>
      </c>
      <c r="E542" s="207">
        <v>0</v>
      </c>
      <c r="F542" s="207">
        <v>0</v>
      </c>
      <c r="G542" s="207">
        <v>0</v>
      </c>
      <c r="H542" s="10">
        <f t="shared" si="11"/>
        <v>0</v>
      </c>
      <c r="I542" s="15">
        <f t="shared" si="12"/>
        <v>3</v>
      </c>
      <c r="J542" s="12" t="str">
        <f t="shared" si="9"/>
        <v>APOYOS FINANCIEROS A INTERMEDIARIOS</v>
      </c>
      <c r="K542" s="11">
        <f t="shared" si="10"/>
        <v>0</v>
      </c>
      <c r="L542" s="11"/>
      <c r="M542" s="11"/>
    </row>
    <row r="543" spans="1:13" x14ac:dyDescent="0.2">
      <c r="A543" s="130">
        <v>54520</v>
      </c>
      <c r="B543" s="23" t="s">
        <v>500</v>
      </c>
      <c r="C543" s="207">
        <v>0</v>
      </c>
      <c r="D543" s="207">
        <v>0</v>
      </c>
      <c r="E543" s="207">
        <v>0</v>
      </c>
      <c r="F543" s="207">
        <v>0</v>
      </c>
      <c r="G543" s="207">
        <v>0</v>
      </c>
      <c r="H543" s="10">
        <f t="shared" si="11"/>
        <v>0</v>
      </c>
      <c r="I543" s="15">
        <f t="shared" si="12"/>
        <v>3</v>
      </c>
      <c r="J543" s="12" t="str">
        <f t="shared" si="9"/>
        <v>APOYO FINANCIEROS A AHORRADORES Y DEUDORES DEL SISTEMA FINANCIERO NACIONAL</v>
      </c>
      <c r="K543" s="11">
        <f t="shared" si="10"/>
        <v>0</v>
      </c>
      <c r="L543" s="11"/>
      <c r="M543" s="11"/>
    </row>
    <row r="544" spans="1:13" x14ac:dyDescent="0.2">
      <c r="A544" s="130">
        <v>55111</v>
      </c>
      <c r="B544" s="23" t="s">
        <v>501</v>
      </c>
      <c r="C544" s="207">
        <v>0</v>
      </c>
      <c r="D544" s="207">
        <v>0</v>
      </c>
      <c r="E544" s="207">
        <v>0</v>
      </c>
      <c r="F544" s="207">
        <v>0</v>
      </c>
      <c r="G544" s="207">
        <v>0</v>
      </c>
      <c r="H544" s="10">
        <f t="shared" si="11"/>
        <v>0</v>
      </c>
      <c r="I544" s="15">
        <f t="shared" si="12"/>
        <v>3</v>
      </c>
      <c r="J544" s="12" t="str">
        <f t="shared" si="9"/>
        <v>ESTIMACIONES PARA CUENTAS INCOBRABLES POR COBRAR A CORTO PLAZO</v>
      </c>
      <c r="K544" s="11">
        <f t="shared" si="10"/>
        <v>0</v>
      </c>
      <c r="L544" s="11"/>
      <c r="M544" s="11"/>
    </row>
    <row r="545" spans="1:13" x14ac:dyDescent="0.2">
      <c r="A545" s="130">
        <v>55112</v>
      </c>
      <c r="B545" s="23" t="s">
        <v>502</v>
      </c>
      <c r="C545" s="207">
        <v>0</v>
      </c>
      <c r="D545" s="207">
        <v>0</v>
      </c>
      <c r="E545" s="207">
        <v>0</v>
      </c>
      <c r="F545" s="207">
        <v>0</v>
      </c>
      <c r="G545" s="207">
        <v>0</v>
      </c>
      <c r="H545" s="10">
        <f t="shared" si="11"/>
        <v>0</v>
      </c>
      <c r="I545" s="15">
        <f t="shared" si="12"/>
        <v>3</v>
      </c>
      <c r="J545" s="12" t="str">
        <f t="shared" si="9"/>
        <v>ESTIMACIONES PARA CUENTAS INCOBRABLES POR DEUDORES DIVERSOS A CORTO PLAZO</v>
      </c>
      <c r="K545" s="11">
        <f t="shared" si="10"/>
        <v>0</v>
      </c>
      <c r="L545" s="11"/>
      <c r="M545" s="11"/>
    </row>
    <row r="546" spans="1:13" x14ac:dyDescent="0.2">
      <c r="A546" s="130">
        <v>55113</v>
      </c>
      <c r="B546" s="23" t="s">
        <v>503</v>
      </c>
      <c r="C546" s="207">
        <v>0</v>
      </c>
      <c r="D546" s="207">
        <v>0</v>
      </c>
      <c r="E546" s="207">
        <v>0</v>
      </c>
      <c r="F546" s="207">
        <v>0</v>
      </c>
      <c r="G546" s="207">
        <v>0</v>
      </c>
      <c r="H546" s="10">
        <f t="shared" si="11"/>
        <v>0</v>
      </c>
      <c r="I546" s="15">
        <f t="shared" ref="I546:I577" si="13">IF(H546&gt;=(SUM($H$482:$H$611)*0.1),I545+1,I545+0)</f>
        <v>3</v>
      </c>
      <c r="J546" s="12" t="str">
        <f t="shared" si="9"/>
        <v>ESTIMACIONES PARA CUENTAS INCOBRABLES POR INGRESOS POR RECUPERAR A CORTO PLAZO</v>
      </c>
      <c r="K546" s="11">
        <f t="shared" si="10"/>
        <v>0</v>
      </c>
      <c r="L546" s="11"/>
      <c r="M546" s="11"/>
    </row>
    <row r="547" spans="1:13" x14ac:dyDescent="0.2">
      <c r="A547" s="130">
        <v>55114</v>
      </c>
      <c r="B547" s="23" t="s">
        <v>504</v>
      </c>
      <c r="C547" s="207">
        <v>0</v>
      </c>
      <c r="D547" s="207">
        <v>0</v>
      </c>
      <c r="E547" s="207">
        <v>0</v>
      </c>
      <c r="F547" s="207">
        <v>0</v>
      </c>
      <c r="G547" s="207">
        <v>0</v>
      </c>
      <c r="H547" s="10">
        <f t="shared" si="11"/>
        <v>0</v>
      </c>
      <c r="I547" s="15">
        <f t="shared" si="13"/>
        <v>3</v>
      </c>
      <c r="J547" s="12" t="str">
        <f t="shared" ref="J547:J611" si="14">B547</f>
        <v>ESTIMACIONES PARA CUENTAS INCOBRABLES POR PRÉSTAMOS OTORGADOS A CORTO PLAZO</v>
      </c>
      <c r="K547" s="11">
        <f t="shared" ref="K547:K611" si="15">H547</f>
        <v>0</v>
      </c>
      <c r="L547" s="11"/>
      <c r="M547" s="11"/>
    </row>
    <row r="548" spans="1:13" x14ac:dyDescent="0.2">
      <c r="A548" s="130">
        <v>55115</v>
      </c>
      <c r="B548" s="23" t="s">
        <v>505</v>
      </c>
      <c r="C548" s="207">
        <v>0</v>
      </c>
      <c r="D548" s="207">
        <v>0</v>
      </c>
      <c r="E548" s="207">
        <v>0</v>
      </c>
      <c r="F548" s="207">
        <v>0</v>
      </c>
      <c r="G548" s="207">
        <v>0</v>
      </c>
      <c r="H548" s="10">
        <f t="shared" si="11"/>
        <v>0</v>
      </c>
      <c r="I548" s="15">
        <f t="shared" si="13"/>
        <v>3</v>
      </c>
      <c r="J548" s="12" t="str">
        <f t="shared" si="14"/>
        <v>OTRAS ESTIMACIONES PARA CUENTAS INCOBRABLES  A CORTO PLAZO</v>
      </c>
      <c r="K548" s="11">
        <f t="shared" si="15"/>
        <v>0</v>
      </c>
      <c r="L548" s="11"/>
      <c r="M548" s="11"/>
    </row>
    <row r="549" spans="1:13" x14ac:dyDescent="0.2">
      <c r="A549" s="130">
        <v>55116</v>
      </c>
      <c r="B549" s="23" t="s">
        <v>506</v>
      </c>
      <c r="C549" s="207">
        <v>0</v>
      </c>
      <c r="D549" s="207">
        <v>0</v>
      </c>
      <c r="E549" s="207">
        <v>0</v>
      </c>
      <c r="F549" s="207">
        <v>0</v>
      </c>
      <c r="G549" s="207">
        <v>0</v>
      </c>
      <c r="H549" s="10">
        <f t="shared" ref="H549:H611" si="16">ROUND(F549-G549,2)</f>
        <v>0</v>
      </c>
      <c r="I549" s="15">
        <f t="shared" si="13"/>
        <v>3</v>
      </c>
      <c r="J549" s="12" t="str">
        <f t="shared" si="14"/>
        <v>ESTIMACIÓN POR DETERIORO U OBSOLESCENCIA DE INVENTARIOS</v>
      </c>
      <c r="K549" s="11">
        <f t="shared" si="15"/>
        <v>0</v>
      </c>
      <c r="L549" s="11"/>
      <c r="M549" s="11"/>
    </row>
    <row r="550" spans="1:13" x14ac:dyDescent="0.2">
      <c r="A550" s="130">
        <v>55117</v>
      </c>
      <c r="B550" s="23" t="s">
        <v>507</v>
      </c>
      <c r="C550" s="207">
        <v>0</v>
      </c>
      <c r="D550" s="207">
        <v>0</v>
      </c>
      <c r="E550" s="207">
        <v>0</v>
      </c>
      <c r="F550" s="207">
        <v>0</v>
      </c>
      <c r="G550" s="207">
        <v>0</v>
      </c>
      <c r="H550" s="10">
        <f t="shared" si="16"/>
        <v>0</v>
      </c>
      <c r="I550" s="15">
        <f t="shared" si="13"/>
        <v>3</v>
      </c>
      <c r="J550" s="12" t="str">
        <f t="shared" si="14"/>
        <v>ESTIMACIÓN POR DETERIORO  DE ALMACÉN DE MATERIALES Y SUMINISTRO DE CONSUMO</v>
      </c>
      <c r="K550" s="11">
        <f t="shared" si="15"/>
        <v>0</v>
      </c>
      <c r="L550" s="11"/>
      <c r="M550" s="11"/>
    </row>
    <row r="551" spans="1:13" x14ac:dyDescent="0.2">
      <c r="A551" s="130">
        <v>55121</v>
      </c>
      <c r="B551" s="23" t="s">
        <v>508</v>
      </c>
      <c r="C551" s="207">
        <v>0</v>
      </c>
      <c r="D551" s="207">
        <v>0</v>
      </c>
      <c r="E551" s="207">
        <v>0</v>
      </c>
      <c r="F551" s="207">
        <v>0</v>
      </c>
      <c r="G551" s="207">
        <v>0</v>
      </c>
      <c r="H551" s="10">
        <f t="shared" si="16"/>
        <v>0</v>
      </c>
      <c r="I551" s="15">
        <f t="shared" si="13"/>
        <v>3</v>
      </c>
      <c r="J551" s="12" t="str">
        <f t="shared" si="14"/>
        <v>ESTIMACIONES POR PÉRDIDA DE CUENTAS INCOBRABLES DE DOCUMENTOS POR COBRAR A LARGO PLAZO</v>
      </c>
      <c r="K551" s="11">
        <f t="shared" si="15"/>
        <v>0</v>
      </c>
      <c r="L551" s="11"/>
      <c r="M551" s="11"/>
    </row>
    <row r="552" spans="1:13" x14ac:dyDescent="0.2">
      <c r="A552" s="130">
        <v>55122</v>
      </c>
      <c r="B552" s="23" t="s">
        <v>509</v>
      </c>
      <c r="C552" s="207">
        <v>0</v>
      </c>
      <c r="D552" s="207">
        <v>0</v>
      </c>
      <c r="E552" s="207">
        <v>0</v>
      </c>
      <c r="F552" s="207">
        <v>0</v>
      </c>
      <c r="G552" s="207">
        <v>0</v>
      </c>
      <c r="H552" s="10">
        <f t="shared" si="16"/>
        <v>0</v>
      </c>
      <c r="I552" s="15">
        <f t="shared" si="13"/>
        <v>3</v>
      </c>
      <c r="J552" s="12" t="str">
        <f t="shared" si="14"/>
        <v>ESTIMACIONES POR PÉRDIDA DE CUENTAS INCOBRABLES DE DEUDORES DIVERSOS POR COBRAR A LARGO PLAZO</v>
      </c>
      <c r="K552" s="11">
        <f t="shared" si="15"/>
        <v>0</v>
      </c>
      <c r="L552" s="11"/>
      <c r="M552" s="11"/>
    </row>
    <row r="553" spans="1:13" x14ac:dyDescent="0.2">
      <c r="A553" s="130">
        <v>55123</v>
      </c>
      <c r="B553" s="23" t="s">
        <v>510</v>
      </c>
      <c r="C553" s="207">
        <v>0</v>
      </c>
      <c r="D553" s="207">
        <v>0</v>
      </c>
      <c r="E553" s="207">
        <v>0</v>
      </c>
      <c r="F553" s="207">
        <v>0</v>
      </c>
      <c r="G553" s="207">
        <v>0</v>
      </c>
      <c r="H553" s="10">
        <f t="shared" si="16"/>
        <v>0</v>
      </c>
      <c r="I553" s="15">
        <f t="shared" si="13"/>
        <v>3</v>
      </c>
      <c r="J553" s="12" t="str">
        <f t="shared" si="14"/>
        <v>ESTIMACIONES POR PÉRDIDA DE CUENTAS INCOBRABLES DE INGRESOS POR RECUPERAR A LARGO PLAZO</v>
      </c>
      <c r="K553" s="11">
        <f t="shared" si="15"/>
        <v>0</v>
      </c>
      <c r="L553" s="11"/>
      <c r="M553" s="11"/>
    </row>
    <row r="554" spans="1:13" x14ac:dyDescent="0.2">
      <c r="A554" s="130">
        <v>55124</v>
      </c>
      <c r="B554" s="23" t="s">
        <v>511</v>
      </c>
      <c r="C554" s="207">
        <v>0</v>
      </c>
      <c r="D554" s="207">
        <v>0</v>
      </c>
      <c r="E554" s="207">
        <v>0</v>
      </c>
      <c r="F554" s="207">
        <v>0</v>
      </c>
      <c r="G554" s="207">
        <v>0</v>
      </c>
      <c r="H554" s="10">
        <f t="shared" si="16"/>
        <v>0</v>
      </c>
      <c r="I554" s="15">
        <f t="shared" si="13"/>
        <v>3</v>
      </c>
      <c r="J554" s="12" t="str">
        <f t="shared" si="14"/>
        <v>ESTIMACIONES POR PÉRDIDA DE CUENTAS INCOBRABLES DE PRÉSTAMOS OTORGADOS POR COBRAR LARGO PLAZO</v>
      </c>
      <c r="K554" s="11">
        <f t="shared" si="15"/>
        <v>0</v>
      </c>
      <c r="L554" s="11"/>
      <c r="M554" s="11"/>
    </row>
    <row r="555" spans="1:13" x14ac:dyDescent="0.2">
      <c r="A555" s="130">
        <v>55129</v>
      </c>
      <c r="B555" s="23" t="s">
        <v>512</v>
      </c>
      <c r="C555" s="207">
        <v>0</v>
      </c>
      <c r="D555" s="207">
        <v>0</v>
      </c>
      <c r="E555" s="207">
        <v>0</v>
      </c>
      <c r="F555" s="207">
        <v>0</v>
      </c>
      <c r="G555" s="207">
        <v>0</v>
      </c>
      <c r="H555" s="10">
        <f t="shared" si="16"/>
        <v>0</v>
      </c>
      <c r="I555" s="15">
        <f t="shared" si="13"/>
        <v>3</v>
      </c>
      <c r="J555" s="12" t="str">
        <f t="shared" si="14"/>
        <v>ESTIMACIONES POR PÉRDIDA DE OTRAS CUENTAS INCOBRABLES POR COBRAR A LARGO PLAZO</v>
      </c>
      <c r="K555" s="11">
        <f t="shared" si="15"/>
        <v>0</v>
      </c>
      <c r="L555" s="11"/>
      <c r="M555" s="11"/>
    </row>
    <row r="556" spans="1:13" x14ac:dyDescent="0.2">
      <c r="A556" s="130">
        <v>55131</v>
      </c>
      <c r="B556" s="23" t="s">
        <v>513</v>
      </c>
      <c r="C556" s="207">
        <v>5027715.9400000004</v>
      </c>
      <c r="D556" s="207">
        <v>7579203.1200000001</v>
      </c>
      <c r="E556" s="207">
        <v>7579203.1200000001</v>
      </c>
      <c r="F556" s="207">
        <v>7942104.2400000002</v>
      </c>
      <c r="G556" s="207">
        <v>0</v>
      </c>
      <c r="H556" s="10">
        <f t="shared" si="16"/>
        <v>7942104.2400000002</v>
      </c>
      <c r="I556" s="15">
        <f t="shared" si="13"/>
        <v>3</v>
      </c>
      <c r="J556" s="12" t="str">
        <f t="shared" si="14"/>
        <v>DEPRECIACIÓN DE VIVIENDAS</v>
      </c>
      <c r="K556" s="11">
        <f t="shared" si="15"/>
        <v>7942104.2400000002</v>
      </c>
      <c r="L556" s="11"/>
      <c r="M556" s="11"/>
    </row>
    <row r="557" spans="1:13" x14ac:dyDescent="0.2">
      <c r="A557" s="130">
        <v>55132</v>
      </c>
      <c r="B557" s="23" t="s">
        <v>514</v>
      </c>
      <c r="C557" s="207">
        <v>0</v>
      </c>
      <c r="D557" s="207">
        <v>0</v>
      </c>
      <c r="E557" s="207">
        <v>0</v>
      </c>
      <c r="F557" s="207">
        <v>0</v>
      </c>
      <c r="G557" s="207">
        <v>0</v>
      </c>
      <c r="H557" s="10">
        <f t="shared" si="16"/>
        <v>0</v>
      </c>
      <c r="I557" s="15">
        <f t="shared" si="13"/>
        <v>3</v>
      </c>
      <c r="J557" s="12" t="str">
        <f t="shared" si="14"/>
        <v>DEPRECIACIÓN DE EDIFICIOS NO RESIDENCIALES</v>
      </c>
      <c r="K557" s="11">
        <f t="shared" si="15"/>
        <v>0</v>
      </c>
      <c r="L557" s="11"/>
      <c r="M557" s="11"/>
    </row>
    <row r="558" spans="1:13" x14ac:dyDescent="0.2">
      <c r="A558" s="130">
        <v>55139</v>
      </c>
      <c r="B558" s="23" t="s">
        <v>515</v>
      </c>
      <c r="C558" s="207">
        <v>0</v>
      </c>
      <c r="D558" s="207">
        <v>0</v>
      </c>
      <c r="E558" s="207">
        <v>0</v>
      </c>
      <c r="F558" s="207">
        <v>0</v>
      </c>
      <c r="G558" s="207">
        <v>0</v>
      </c>
      <c r="H558" s="10">
        <f t="shared" si="16"/>
        <v>0</v>
      </c>
      <c r="I558" s="15">
        <f t="shared" si="13"/>
        <v>3</v>
      </c>
      <c r="J558" s="12" t="str">
        <f t="shared" si="14"/>
        <v>DEPRECIACIÓN DE OTROS BIENES INMUEBLES</v>
      </c>
      <c r="K558" s="11">
        <f t="shared" si="15"/>
        <v>0</v>
      </c>
      <c r="L558" s="11"/>
      <c r="M558" s="11"/>
    </row>
    <row r="559" spans="1:13" x14ac:dyDescent="0.2">
      <c r="A559" s="130">
        <v>55141</v>
      </c>
      <c r="B559" s="23" t="s">
        <v>516</v>
      </c>
      <c r="C559" s="207">
        <v>0</v>
      </c>
      <c r="D559" s="207">
        <v>0</v>
      </c>
      <c r="E559" s="207">
        <v>0</v>
      </c>
      <c r="F559" s="207">
        <v>0</v>
      </c>
      <c r="G559" s="207">
        <v>0</v>
      </c>
      <c r="H559" s="10">
        <f t="shared" si="16"/>
        <v>0</v>
      </c>
      <c r="I559" s="15">
        <f t="shared" si="13"/>
        <v>3</v>
      </c>
      <c r="J559" s="12" t="str">
        <f t="shared" si="14"/>
        <v>DEPRECIACIÓN DE INFRAESTRUCTURA DE CARRETERAS</v>
      </c>
      <c r="K559" s="11">
        <f t="shared" si="15"/>
        <v>0</v>
      </c>
      <c r="L559" s="11"/>
      <c r="M559" s="11"/>
    </row>
    <row r="560" spans="1:13" x14ac:dyDescent="0.2">
      <c r="A560" s="130">
        <v>55142</v>
      </c>
      <c r="B560" s="23" t="s">
        <v>517</v>
      </c>
      <c r="C560" s="207">
        <v>0</v>
      </c>
      <c r="D560" s="207">
        <v>0</v>
      </c>
      <c r="E560" s="207">
        <v>0</v>
      </c>
      <c r="F560" s="207">
        <v>0</v>
      </c>
      <c r="G560" s="207">
        <v>0</v>
      </c>
      <c r="H560" s="10">
        <f t="shared" si="16"/>
        <v>0</v>
      </c>
      <c r="I560" s="15">
        <f t="shared" si="13"/>
        <v>3</v>
      </c>
      <c r="J560" s="12" t="str">
        <f t="shared" si="14"/>
        <v>DEPRECIACIÓN DE INFRAESTRUCTURA FERROVIARIA Y MULTIMODAL</v>
      </c>
      <c r="K560" s="11">
        <f t="shared" si="15"/>
        <v>0</v>
      </c>
      <c r="L560" s="11"/>
      <c r="M560" s="11"/>
    </row>
    <row r="561" spans="1:13" x14ac:dyDescent="0.2">
      <c r="A561" s="130">
        <v>55143</v>
      </c>
      <c r="B561" s="23" t="s">
        <v>518</v>
      </c>
      <c r="C561" s="207">
        <v>0</v>
      </c>
      <c r="D561" s="207">
        <v>0</v>
      </c>
      <c r="E561" s="207">
        <v>0</v>
      </c>
      <c r="F561" s="207">
        <v>0</v>
      </c>
      <c r="G561" s="207">
        <v>0</v>
      </c>
      <c r="H561" s="10">
        <f t="shared" si="16"/>
        <v>0</v>
      </c>
      <c r="I561" s="15">
        <f t="shared" si="13"/>
        <v>3</v>
      </c>
      <c r="J561" s="12" t="str">
        <f t="shared" si="14"/>
        <v>DEPRECIACIÓN DE INFRAESTRUCTURA PORTUARIA</v>
      </c>
      <c r="K561" s="11">
        <f t="shared" si="15"/>
        <v>0</v>
      </c>
      <c r="L561" s="11"/>
      <c r="M561" s="11"/>
    </row>
    <row r="562" spans="1:13" x14ac:dyDescent="0.2">
      <c r="A562" s="130">
        <v>55144</v>
      </c>
      <c r="B562" s="23" t="s">
        <v>519</v>
      </c>
      <c r="C562" s="207">
        <v>0</v>
      </c>
      <c r="D562" s="207">
        <v>0</v>
      </c>
      <c r="E562" s="207">
        <v>0</v>
      </c>
      <c r="F562" s="207">
        <v>0</v>
      </c>
      <c r="G562" s="207">
        <v>0</v>
      </c>
      <c r="H562" s="10">
        <f t="shared" si="16"/>
        <v>0</v>
      </c>
      <c r="I562" s="15">
        <f t="shared" si="13"/>
        <v>3</v>
      </c>
      <c r="J562" s="12" t="str">
        <f t="shared" si="14"/>
        <v>DEPRECIACIÓN DE INFRAESTRUCTURA AEROPORTUARIA</v>
      </c>
      <c r="K562" s="11">
        <f t="shared" si="15"/>
        <v>0</v>
      </c>
      <c r="L562" s="11"/>
      <c r="M562" s="11"/>
    </row>
    <row r="563" spans="1:13" x14ac:dyDescent="0.2">
      <c r="A563" s="130">
        <v>55145</v>
      </c>
      <c r="B563" s="23" t="s">
        <v>520</v>
      </c>
      <c r="C563" s="207">
        <v>0</v>
      </c>
      <c r="D563" s="207">
        <v>0</v>
      </c>
      <c r="E563" s="207">
        <v>0</v>
      </c>
      <c r="F563" s="207">
        <v>0</v>
      </c>
      <c r="G563" s="207">
        <v>0</v>
      </c>
      <c r="H563" s="10">
        <f t="shared" si="16"/>
        <v>0</v>
      </c>
      <c r="I563" s="15">
        <f t="shared" si="13"/>
        <v>3</v>
      </c>
      <c r="J563" s="12" t="str">
        <f t="shared" si="14"/>
        <v>DEPRECIACIÓN DE INFRAESTRUCTURA DE TELECOMUNICACIONES</v>
      </c>
      <c r="K563" s="11">
        <f t="shared" si="15"/>
        <v>0</v>
      </c>
      <c r="L563" s="11"/>
      <c r="M563" s="11"/>
    </row>
    <row r="564" spans="1:13" x14ac:dyDescent="0.2">
      <c r="A564" s="130">
        <v>55146</v>
      </c>
      <c r="B564" s="23" t="s">
        <v>521</v>
      </c>
      <c r="C564" s="207">
        <v>0</v>
      </c>
      <c r="D564" s="207">
        <v>0</v>
      </c>
      <c r="E564" s="207">
        <v>0</v>
      </c>
      <c r="F564" s="207">
        <v>0</v>
      </c>
      <c r="G564" s="207">
        <v>0</v>
      </c>
      <c r="H564" s="10">
        <f t="shared" si="16"/>
        <v>0</v>
      </c>
      <c r="I564" s="15">
        <f t="shared" si="13"/>
        <v>3</v>
      </c>
      <c r="J564" s="12" t="str">
        <f t="shared" si="14"/>
        <v>DEPRECIACIÓN DE INFRAESTRUCTURA DE AGUA POTABLE, SANEAMIENTO, HIDROAGRÍCOLA Y CONTROL DE INUNDACIONES</v>
      </c>
      <c r="K564" s="11">
        <f t="shared" si="15"/>
        <v>0</v>
      </c>
      <c r="L564" s="11"/>
      <c r="M564" s="11"/>
    </row>
    <row r="565" spans="1:13" x14ac:dyDescent="0.2">
      <c r="A565" s="130">
        <v>55147</v>
      </c>
      <c r="B565" s="23" t="s">
        <v>522</v>
      </c>
      <c r="C565" s="207">
        <v>0</v>
      </c>
      <c r="D565" s="207">
        <v>0</v>
      </c>
      <c r="E565" s="207">
        <v>0</v>
      </c>
      <c r="F565" s="207">
        <v>0</v>
      </c>
      <c r="G565" s="207">
        <v>0</v>
      </c>
      <c r="H565" s="10">
        <f t="shared" si="16"/>
        <v>0</v>
      </c>
      <c r="I565" s="15">
        <f t="shared" si="13"/>
        <v>3</v>
      </c>
      <c r="J565" s="12" t="str">
        <f t="shared" si="14"/>
        <v>DEPRECIACIÓN DE INFRAESTRUCTURA ELÉCTRICA</v>
      </c>
      <c r="K565" s="11">
        <f t="shared" si="15"/>
        <v>0</v>
      </c>
      <c r="L565" s="11"/>
      <c r="M565" s="11"/>
    </row>
    <row r="566" spans="1:13" x14ac:dyDescent="0.2">
      <c r="A566" s="130">
        <v>55148</v>
      </c>
      <c r="B566" s="23" t="s">
        <v>523</v>
      </c>
      <c r="C566" s="207">
        <v>0</v>
      </c>
      <c r="D566" s="207">
        <v>0</v>
      </c>
      <c r="E566" s="207">
        <v>0</v>
      </c>
      <c r="F566" s="207">
        <v>0</v>
      </c>
      <c r="G566" s="207">
        <v>0</v>
      </c>
      <c r="H566" s="10">
        <f t="shared" si="16"/>
        <v>0</v>
      </c>
      <c r="I566" s="15">
        <f t="shared" si="13"/>
        <v>3</v>
      </c>
      <c r="J566" s="12" t="str">
        <f t="shared" si="14"/>
        <v>DEPRECIACIÓN DE INFRAESTRUCTURA DE PRODUCCIÓN DE HIDROCARBUROS</v>
      </c>
      <c r="K566" s="11">
        <f t="shared" si="15"/>
        <v>0</v>
      </c>
      <c r="L566" s="11"/>
      <c r="M566" s="11"/>
    </row>
    <row r="567" spans="1:13" x14ac:dyDescent="0.2">
      <c r="A567" s="130">
        <v>55149</v>
      </c>
      <c r="B567" s="23" t="s">
        <v>524</v>
      </c>
      <c r="C567" s="207">
        <v>0</v>
      </c>
      <c r="D567" s="207">
        <v>0</v>
      </c>
      <c r="E567" s="207">
        <v>0</v>
      </c>
      <c r="F567" s="207">
        <v>0</v>
      </c>
      <c r="G567" s="207">
        <v>0</v>
      </c>
      <c r="H567" s="10">
        <f t="shared" si="16"/>
        <v>0</v>
      </c>
      <c r="I567" s="15">
        <f t="shared" si="13"/>
        <v>3</v>
      </c>
      <c r="J567" s="12" t="str">
        <f t="shared" si="14"/>
        <v>DEPRECIACIÓN DE INFRAESTRUCTURA DE REFINACIÓN, GAS Y PETROQUÍMICA</v>
      </c>
      <c r="K567" s="11">
        <f t="shared" si="15"/>
        <v>0</v>
      </c>
      <c r="L567" s="11"/>
      <c r="M567" s="11"/>
    </row>
    <row r="568" spans="1:13" x14ac:dyDescent="0.2">
      <c r="A568" s="130">
        <v>55151</v>
      </c>
      <c r="B568" s="23" t="s">
        <v>525</v>
      </c>
      <c r="C568" s="207">
        <v>58788633.710000001</v>
      </c>
      <c r="D568" s="207">
        <v>48969284.590000004</v>
      </c>
      <c r="E568" s="207">
        <v>48969284.600000001</v>
      </c>
      <c r="F568" s="207">
        <v>39776916.68</v>
      </c>
      <c r="G568" s="207">
        <v>2851184.94</v>
      </c>
      <c r="H568" s="10">
        <f t="shared" si="16"/>
        <v>36925731.740000002</v>
      </c>
      <c r="I568" s="15">
        <f t="shared" si="13"/>
        <v>3</v>
      </c>
      <c r="J568" s="12" t="str">
        <f t="shared" si="14"/>
        <v>DEPRECIACIÓN DE MOBILIARIO Y EQUIPO DE ADMINISTRACIÓN</v>
      </c>
      <c r="K568" s="11">
        <f t="shared" si="15"/>
        <v>36925731.740000002</v>
      </c>
      <c r="L568" s="11"/>
      <c r="M568" s="11"/>
    </row>
    <row r="569" spans="1:13" x14ac:dyDescent="0.2">
      <c r="A569" s="130">
        <v>55152</v>
      </c>
      <c r="B569" s="23" t="s">
        <v>526</v>
      </c>
      <c r="C569" s="207">
        <v>0</v>
      </c>
      <c r="D569" s="207">
        <v>0</v>
      </c>
      <c r="E569" s="207">
        <v>0</v>
      </c>
      <c r="F569" s="207">
        <v>0</v>
      </c>
      <c r="G569" s="207">
        <v>0</v>
      </c>
      <c r="H569" s="10">
        <f t="shared" si="16"/>
        <v>0</v>
      </c>
      <c r="I569" s="15">
        <f t="shared" si="13"/>
        <v>3</v>
      </c>
      <c r="J569" s="12" t="str">
        <f t="shared" si="14"/>
        <v>DEPRECIACIÓN DE MOBILIARIO Y EQUIPO EDUCACIONAL Y RECREATIVO</v>
      </c>
      <c r="K569" s="11">
        <f t="shared" si="15"/>
        <v>0</v>
      </c>
      <c r="L569" s="11"/>
      <c r="M569" s="11"/>
    </row>
    <row r="570" spans="1:13" x14ac:dyDescent="0.2">
      <c r="A570" s="130">
        <v>55153</v>
      </c>
      <c r="B570" s="23" t="s">
        <v>527</v>
      </c>
      <c r="C570" s="207">
        <v>0</v>
      </c>
      <c r="D570" s="207">
        <v>0</v>
      </c>
      <c r="E570" s="207">
        <v>0</v>
      </c>
      <c r="F570" s="207">
        <v>0</v>
      </c>
      <c r="G570" s="207">
        <v>0</v>
      </c>
      <c r="H570" s="10">
        <f t="shared" si="16"/>
        <v>0</v>
      </c>
      <c r="I570" s="15">
        <f t="shared" si="13"/>
        <v>3</v>
      </c>
      <c r="J570" s="12" t="str">
        <f t="shared" si="14"/>
        <v>DEPRECIACIÓN DE EQUIPO E INSTRUMENTAL MÉDICO Y DE LABORATORIO</v>
      </c>
      <c r="K570" s="11">
        <f t="shared" si="15"/>
        <v>0</v>
      </c>
      <c r="L570" s="11"/>
      <c r="M570" s="11"/>
    </row>
    <row r="571" spans="1:13" x14ac:dyDescent="0.2">
      <c r="A571" s="130">
        <v>55154</v>
      </c>
      <c r="B571" s="23" t="s">
        <v>528</v>
      </c>
      <c r="C571" s="207">
        <v>0</v>
      </c>
      <c r="D571" s="207">
        <v>0</v>
      </c>
      <c r="E571" s="207">
        <v>0</v>
      </c>
      <c r="F571" s="207">
        <v>0</v>
      </c>
      <c r="G571" s="207">
        <v>0</v>
      </c>
      <c r="H571" s="10">
        <f t="shared" si="16"/>
        <v>0</v>
      </c>
      <c r="I571" s="15">
        <f t="shared" si="13"/>
        <v>3</v>
      </c>
      <c r="J571" s="12" t="str">
        <f t="shared" si="14"/>
        <v>DEPRECIACIÓN DE EQUIPO DE TRANSPORTE</v>
      </c>
      <c r="K571" s="11">
        <f t="shared" si="15"/>
        <v>0</v>
      </c>
      <c r="L571" s="11"/>
      <c r="M571" s="11"/>
    </row>
    <row r="572" spans="1:13" x14ac:dyDescent="0.2">
      <c r="A572" s="130">
        <v>55155</v>
      </c>
      <c r="B572" s="23" t="s">
        <v>529</v>
      </c>
      <c r="C572" s="207">
        <v>0</v>
      </c>
      <c r="D572" s="207">
        <v>0</v>
      </c>
      <c r="E572" s="207">
        <v>0</v>
      </c>
      <c r="F572" s="207">
        <v>0</v>
      </c>
      <c r="G572" s="207">
        <v>0</v>
      </c>
      <c r="H572" s="10">
        <f t="shared" si="16"/>
        <v>0</v>
      </c>
      <c r="I572" s="15">
        <f t="shared" si="13"/>
        <v>3</v>
      </c>
      <c r="J572" s="12" t="str">
        <f t="shared" si="14"/>
        <v>DEPRECIACIÓN DE EQUIPO DE DEFENSA Y DE SEGURIDAD</v>
      </c>
      <c r="K572" s="11">
        <f t="shared" si="15"/>
        <v>0</v>
      </c>
      <c r="L572" s="11"/>
      <c r="M572" s="11"/>
    </row>
    <row r="573" spans="1:13" x14ac:dyDescent="0.2">
      <c r="A573" s="130">
        <v>55156</v>
      </c>
      <c r="B573" s="23" t="s">
        <v>530</v>
      </c>
      <c r="C573" s="207">
        <v>0</v>
      </c>
      <c r="D573" s="207">
        <v>0</v>
      </c>
      <c r="E573" s="207">
        <v>0</v>
      </c>
      <c r="F573" s="207">
        <v>0</v>
      </c>
      <c r="G573" s="207">
        <v>0</v>
      </c>
      <c r="H573" s="10">
        <f t="shared" si="16"/>
        <v>0</v>
      </c>
      <c r="I573" s="15">
        <f t="shared" si="13"/>
        <v>3</v>
      </c>
      <c r="J573" s="12" t="str">
        <f t="shared" si="14"/>
        <v>DEPRECIACIÓN DE MAQUINARIA, OTROS EQUIPOS Y HERRAMIENTAS</v>
      </c>
      <c r="K573" s="11">
        <f t="shared" si="15"/>
        <v>0</v>
      </c>
      <c r="L573" s="11"/>
      <c r="M573" s="11"/>
    </row>
    <row r="574" spans="1:13" x14ac:dyDescent="0.2">
      <c r="A574" s="130">
        <v>55161</v>
      </c>
      <c r="B574" s="23" t="s">
        <v>531</v>
      </c>
      <c r="C574" s="207">
        <v>101.92</v>
      </c>
      <c r="D574" s="207">
        <v>1200.08</v>
      </c>
      <c r="E574" s="207">
        <v>1200.08</v>
      </c>
      <c r="F574" s="207">
        <v>561.01</v>
      </c>
      <c r="G574" s="207">
        <v>334.16</v>
      </c>
      <c r="H574" s="10">
        <f t="shared" si="16"/>
        <v>226.85</v>
      </c>
      <c r="I574" s="15">
        <f t="shared" si="13"/>
        <v>3</v>
      </c>
      <c r="J574" s="12" t="str">
        <f t="shared" si="14"/>
        <v>DETERIORO DE BOVINOS</v>
      </c>
      <c r="K574" s="11">
        <f t="shared" si="15"/>
        <v>226.85</v>
      </c>
      <c r="L574" s="11"/>
      <c r="M574" s="11"/>
    </row>
    <row r="575" spans="1:13" x14ac:dyDescent="0.2">
      <c r="A575" s="130">
        <v>55162</v>
      </c>
      <c r="B575" s="23" t="s">
        <v>532</v>
      </c>
      <c r="C575" s="207">
        <v>0</v>
      </c>
      <c r="D575" s="207">
        <v>7676.77</v>
      </c>
      <c r="E575" s="207">
        <v>7676.77</v>
      </c>
      <c r="F575" s="207">
        <v>3910</v>
      </c>
      <c r="G575" s="207">
        <v>0</v>
      </c>
      <c r="H575" s="10">
        <f t="shared" si="16"/>
        <v>3910</v>
      </c>
      <c r="I575" s="15">
        <f t="shared" si="13"/>
        <v>3</v>
      </c>
      <c r="J575" s="12" t="str">
        <f t="shared" si="14"/>
        <v>DETERIORO DE PORCINOS</v>
      </c>
      <c r="K575" s="11">
        <f t="shared" si="15"/>
        <v>3910</v>
      </c>
      <c r="L575" s="11"/>
      <c r="M575" s="11"/>
    </row>
    <row r="576" spans="1:13" x14ac:dyDescent="0.2">
      <c r="A576" s="130">
        <v>55163</v>
      </c>
      <c r="B576" s="23" t="s">
        <v>533</v>
      </c>
      <c r="C576" s="207">
        <v>0</v>
      </c>
      <c r="D576" s="207">
        <v>0</v>
      </c>
      <c r="E576" s="207">
        <v>0</v>
      </c>
      <c r="F576" s="207">
        <v>0</v>
      </c>
      <c r="G576" s="207">
        <v>0</v>
      </c>
      <c r="H576" s="10">
        <f t="shared" si="16"/>
        <v>0</v>
      </c>
      <c r="I576" s="15">
        <f t="shared" si="13"/>
        <v>3</v>
      </c>
      <c r="J576" s="12" t="str">
        <f t="shared" si="14"/>
        <v>DETERIORO DE AVES</v>
      </c>
      <c r="K576" s="11">
        <f t="shared" si="15"/>
        <v>0</v>
      </c>
      <c r="L576" s="11"/>
      <c r="M576" s="11"/>
    </row>
    <row r="577" spans="1:13" x14ac:dyDescent="0.2">
      <c r="A577" s="130">
        <v>55164</v>
      </c>
      <c r="B577" s="23" t="s">
        <v>534</v>
      </c>
      <c r="C577" s="207">
        <v>76.44</v>
      </c>
      <c r="D577" s="207">
        <v>900.06</v>
      </c>
      <c r="E577" s="207">
        <v>900.06</v>
      </c>
      <c r="F577" s="207">
        <v>382.18</v>
      </c>
      <c r="G577" s="207">
        <v>382.18</v>
      </c>
      <c r="H577" s="10">
        <f t="shared" si="16"/>
        <v>0</v>
      </c>
      <c r="I577" s="15">
        <f t="shared" si="13"/>
        <v>3</v>
      </c>
      <c r="J577" s="12" t="str">
        <f t="shared" si="14"/>
        <v>DETERIORO DE OVINOS Y CAPRINOS</v>
      </c>
      <c r="K577" s="11">
        <f t="shared" si="15"/>
        <v>0</v>
      </c>
      <c r="L577" s="11"/>
      <c r="M577" s="11"/>
    </row>
    <row r="578" spans="1:13" x14ac:dyDescent="0.2">
      <c r="A578" s="130">
        <v>55165</v>
      </c>
      <c r="B578" s="23" t="s">
        <v>535</v>
      </c>
      <c r="C578" s="207">
        <v>0</v>
      </c>
      <c r="D578" s="207">
        <v>0</v>
      </c>
      <c r="E578" s="207">
        <v>0</v>
      </c>
      <c r="F578" s="207">
        <v>0</v>
      </c>
      <c r="G578" s="207">
        <v>0</v>
      </c>
      <c r="H578" s="10">
        <f t="shared" si="16"/>
        <v>0</v>
      </c>
      <c r="I578" s="15">
        <f t="shared" ref="I578:I587" si="17">IF(H578&gt;=(SUM($H$482:$H$611)*0.1),I577+1,I577+0)</f>
        <v>3</v>
      </c>
      <c r="J578" s="12" t="str">
        <f t="shared" si="14"/>
        <v>DETERIORO DE PECES Y ACUICULTURA</v>
      </c>
      <c r="K578" s="11">
        <f t="shared" si="15"/>
        <v>0</v>
      </c>
      <c r="L578" s="11"/>
      <c r="M578" s="11"/>
    </row>
    <row r="579" spans="1:13" x14ac:dyDescent="0.2">
      <c r="A579" s="130">
        <v>55166</v>
      </c>
      <c r="B579" s="23" t="s">
        <v>536</v>
      </c>
      <c r="C579" s="207">
        <v>0</v>
      </c>
      <c r="D579" s="207">
        <v>0</v>
      </c>
      <c r="E579" s="207">
        <v>0</v>
      </c>
      <c r="F579" s="207">
        <v>0</v>
      </c>
      <c r="G579" s="207">
        <v>0</v>
      </c>
      <c r="H579" s="10">
        <f t="shared" si="16"/>
        <v>0</v>
      </c>
      <c r="I579" s="15">
        <f t="shared" si="17"/>
        <v>3</v>
      </c>
      <c r="J579" s="12" t="str">
        <f t="shared" si="14"/>
        <v>DETERIORO DE EQUINOS</v>
      </c>
      <c r="K579" s="11">
        <f t="shared" si="15"/>
        <v>0</v>
      </c>
      <c r="L579" s="11"/>
      <c r="M579" s="11"/>
    </row>
    <row r="580" spans="1:13" x14ac:dyDescent="0.2">
      <c r="A580" s="130">
        <v>55167</v>
      </c>
      <c r="B580" s="23" t="s">
        <v>537</v>
      </c>
      <c r="C580" s="207">
        <v>0</v>
      </c>
      <c r="D580" s="207">
        <v>0</v>
      </c>
      <c r="E580" s="207">
        <v>0</v>
      </c>
      <c r="F580" s="207">
        <v>0</v>
      </c>
      <c r="G580" s="207">
        <v>0</v>
      </c>
      <c r="H580" s="10">
        <f t="shared" si="16"/>
        <v>0</v>
      </c>
      <c r="I580" s="15">
        <f t="shared" si="17"/>
        <v>3</v>
      </c>
      <c r="J580" s="12" t="str">
        <f t="shared" si="14"/>
        <v>DETERIORO DE ESPECIES MENORES Y DE ZOOLÓGICO</v>
      </c>
      <c r="K580" s="11">
        <f t="shared" si="15"/>
        <v>0</v>
      </c>
      <c r="L580" s="11"/>
      <c r="M580" s="11"/>
    </row>
    <row r="581" spans="1:13" x14ac:dyDescent="0.2">
      <c r="A581" s="130">
        <v>55168</v>
      </c>
      <c r="B581" s="23" t="s">
        <v>538</v>
      </c>
      <c r="C581" s="207">
        <v>0</v>
      </c>
      <c r="D581" s="207">
        <v>0</v>
      </c>
      <c r="E581" s="207">
        <v>0</v>
      </c>
      <c r="F581" s="207">
        <v>0</v>
      </c>
      <c r="G581" s="207">
        <v>0</v>
      </c>
      <c r="H581" s="10">
        <f t="shared" si="16"/>
        <v>0</v>
      </c>
      <c r="I581" s="15">
        <f t="shared" si="17"/>
        <v>3</v>
      </c>
      <c r="J581" s="12" t="str">
        <f t="shared" si="14"/>
        <v>DETERIORO ÁRBOLES Y PLANTAS</v>
      </c>
      <c r="K581" s="11">
        <f t="shared" si="15"/>
        <v>0</v>
      </c>
      <c r="L581" s="11"/>
      <c r="M581" s="11"/>
    </row>
    <row r="582" spans="1:13" x14ac:dyDescent="0.2">
      <c r="A582" s="130">
        <v>55169</v>
      </c>
      <c r="B582" s="23" t="s">
        <v>539</v>
      </c>
      <c r="C582" s="207">
        <v>0</v>
      </c>
      <c r="D582" s="207">
        <v>0</v>
      </c>
      <c r="E582" s="207">
        <v>0</v>
      </c>
      <c r="F582" s="207">
        <v>0</v>
      </c>
      <c r="G582" s="207">
        <v>0</v>
      </c>
      <c r="H582" s="10">
        <f t="shared" si="16"/>
        <v>0</v>
      </c>
      <c r="I582" s="15">
        <f t="shared" si="17"/>
        <v>3</v>
      </c>
      <c r="J582" s="12" t="str">
        <f t="shared" si="14"/>
        <v>DETERIORO DE OTROS ACTIVOS BIOLÓGICOS</v>
      </c>
      <c r="K582" s="11">
        <f t="shared" si="15"/>
        <v>0</v>
      </c>
      <c r="L582" s="11"/>
      <c r="M582" s="11"/>
    </row>
    <row r="583" spans="1:13" x14ac:dyDescent="0.2">
      <c r="A583" s="130">
        <v>55171</v>
      </c>
      <c r="B583" s="23" t="s">
        <v>540</v>
      </c>
      <c r="C583" s="207">
        <v>0</v>
      </c>
      <c r="D583" s="207">
        <v>0</v>
      </c>
      <c r="E583" s="207">
        <v>0</v>
      </c>
      <c r="F583" s="207">
        <v>1048887.8899999999</v>
      </c>
      <c r="G583" s="207">
        <v>0</v>
      </c>
      <c r="H583" s="10">
        <f t="shared" si="16"/>
        <v>1048887.8899999999</v>
      </c>
      <c r="I583" s="15">
        <f t="shared" si="17"/>
        <v>3</v>
      </c>
      <c r="J583" s="12" t="str">
        <f t="shared" si="14"/>
        <v>AMORTIZACIÓN DE SOFTWARE</v>
      </c>
      <c r="K583" s="11">
        <f t="shared" si="15"/>
        <v>1048887.8899999999</v>
      </c>
      <c r="L583" s="11"/>
      <c r="M583" s="11"/>
    </row>
    <row r="584" spans="1:13" x14ac:dyDescent="0.2">
      <c r="A584" s="130">
        <v>55172</v>
      </c>
      <c r="B584" s="23" t="s">
        <v>541</v>
      </c>
      <c r="C584" s="207">
        <v>0</v>
      </c>
      <c r="D584" s="207">
        <v>0</v>
      </c>
      <c r="E584" s="207">
        <v>0</v>
      </c>
      <c r="F584" s="207">
        <v>0</v>
      </c>
      <c r="G584" s="207">
        <v>0</v>
      </c>
      <c r="H584" s="10">
        <f t="shared" si="16"/>
        <v>0</v>
      </c>
      <c r="I584" s="15">
        <f t="shared" si="17"/>
        <v>3</v>
      </c>
      <c r="J584" s="12" t="str">
        <f t="shared" si="14"/>
        <v>AMORTIZACIÓN DE PATENTES, MARCAS Y DERECHOS</v>
      </c>
      <c r="K584" s="11">
        <f t="shared" si="15"/>
        <v>0</v>
      </c>
      <c r="L584" s="11"/>
      <c r="M584" s="11"/>
    </row>
    <row r="585" spans="1:13" x14ac:dyDescent="0.2">
      <c r="A585" s="130">
        <v>55173</v>
      </c>
      <c r="B585" s="23" t="s">
        <v>542</v>
      </c>
      <c r="C585" s="207">
        <v>0</v>
      </c>
      <c r="D585" s="207">
        <v>0</v>
      </c>
      <c r="E585" s="207">
        <v>0</v>
      </c>
      <c r="F585" s="207">
        <v>0</v>
      </c>
      <c r="G585" s="207">
        <v>0</v>
      </c>
      <c r="H585" s="10">
        <f t="shared" si="16"/>
        <v>0</v>
      </c>
      <c r="I585" s="15">
        <f t="shared" si="17"/>
        <v>3</v>
      </c>
      <c r="J585" s="12" t="str">
        <f t="shared" si="14"/>
        <v>AMORTIZACIÓN DE CONCESIONES Y FRANQUICIAS</v>
      </c>
      <c r="K585" s="11">
        <f t="shared" si="15"/>
        <v>0</v>
      </c>
      <c r="L585" s="11"/>
      <c r="M585" s="11"/>
    </row>
    <row r="586" spans="1:13" x14ac:dyDescent="0.2">
      <c r="A586" s="130">
        <v>55174</v>
      </c>
      <c r="B586" s="23" t="s">
        <v>543</v>
      </c>
      <c r="C586" s="207">
        <v>0</v>
      </c>
      <c r="D586" s="207">
        <v>0</v>
      </c>
      <c r="E586" s="207">
        <v>0</v>
      </c>
      <c r="F586" s="207">
        <v>0</v>
      </c>
      <c r="G586" s="207">
        <v>0</v>
      </c>
      <c r="H586" s="10">
        <f t="shared" si="16"/>
        <v>0</v>
      </c>
      <c r="I586" s="15">
        <f t="shared" si="17"/>
        <v>3</v>
      </c>
      <c r="J586" s="12" t="str">
        <f t="shared" si="14"/>
        <v>AMORTIZACIÓN DE LICENCIAS</v>
      </c>
      <c r="K586" s="11">
        <f t="shared" si="15"/>
        <v>0</v>
      </c>
      <c r="L586" s="11"/>
      <c r="M586" s="11"/>
    </row>
    <row r="587" spans="1:13" x14ac:dyDescent="0.2">
      <c r="A587" s="130">
        <v>55179</v>
      </c>
      <c r="B587" s="23" t="s">
        <v>544</v>
      </c>
      <c r="C587" s="207">
        <v>0</v>
      </c>
      <c r="D587" s="207">
        <v>0</v>
      </c>
      <c r="E587" s="207">
        <v>0</v>
      </c>
      <c r="F587" s="207">
        <v>0</v>
      </c>
      <c r="G587" s="207">
        <v>0</v>
      </c>
      <c r="H587" s="10">
        <f t="shared" si="16"/>
        <v>0</v>
      </c>
      <c r="I587" s="15">
        <f t="shared" si="17"/>
        <v>3</v>
      </c>
      <c r="J587" s="12" t="str">
        <f t="shared" si="14"/>
        <v>AMORTIZACIÓN DE OTROS INTANGIBLES</v>
      </c>
      <c r="K587" s="11">
        <f t="shared" si="15"/>
        <v>0</v>
      </c>
      <c r="L587" s="11"/>
      <c r="M587" s="11"/>
    </row>
    <row r="588" spans="1:13" x14ac:dyDescent="0.2">
      <c r="A588" s="130">
        <v>55180</v>
      </c>
      <c r="B588" s="23" t="s">
        <v>843</v>
      </c>
      <c r="C588" s="207">
        <v>5133913.5599999996</v>
      </c>
      <c r="D588" s="207">
        <v>46241117.329999998</v>
      </c>
      <c r="E588" s="207">
        <f>46241117.33</f>
        <v>46241117.329999998</v>
      </c>
      <c r="F588" s="207">
        <v>40081233.259999998</v>
      </c>
      <c r="G588" s="207">
        <v>285731.58</v>
      </c>
      <c r="H588" s="10">
        <f t="shared" si="16"/>
        <v>39795501.68</v>
      </c>
      <c r="I588" s="15"/>
      <c r="J588" s="12"/>
      <c r="K588" s="11"/>
      <c r="L588" s="11"/>
      <c r="M588" s="11"/>
    </row>
    <row r="589" spans="1:13" x14ac:dyDescent="0.2">
      <c r="A589" s="130">
        <v>55211</v>
      </c>
      <c r="B589" s="23" t="s">
        <v>545</v>
      </c>
      <c r="C589" s="207">
        <v>0</v>
      </c>
      <c r="D589" s="207">
        <v>0</v>
      </c>
      <c r="E589" s="207">
        <v>0</v>
      </c>
      <c r="F589" s="207">
        <v>0</v>
      </c>
      <c r="G589" s="207">
        <v>0</v>
      </c>
      <c r="H589" s="10">
        <f t="shared" si="16"/>
        <v>0</v>
      </c>
      <c r="I589" s="15">
        <f>IF(H589&gt;=(SUM($H$482:$H$611)*0.1),I587+1,I587+0)</f>
        <v>3</v>
      </c>
      <c r="J589" s="12" t="str">
        <f t="shared" si="14"/>
        <v>PROVISIÓN POR DEMANDAS Y JUICIOS A CORTO PLAZO</v>
      </c>
      <c r="K589" s="11">
        <f t="shared" si="15"/>
        <v>0</v>
      </c>
      <c r="L589" s="11"/>
      <c r="M589" s="11"/>
    </row>
    <row r="590" spans="1:13" x14ac:dyDescent="0.2">
      <c r="A590" s="130">
        <v>55212</v>
      </c>
      <c r="B590" s="23" t="s">
        <v>336</v>
      </c>
      <c r="C590" s="207">
        <v>0</v>
      </c>
      <c r="D590" s="207">
        <v>0</v>
      </c>
      <c r="E590" s="207">
        <v>0</v>
      </c>
      <c r="F590" s="207">
        <v>0</v>
      </c>
      <c r="G590" s="207">
        <v>0</v>
      </c>
      <c r="H590" s="10">
        <f t="shared" si="16"/>
        <v>0</v>
      </c>
      <c r="I590" s="15">
        <f t="shared" ref="I590:I611" si="18">IF(H590&gt;=(SUM($H$482:$H$611)*0.1),I589+1,I589+0)</f>
        <v>3</v>
      </c>
      <c r="J590" s="12" t="str">
        <f t="shared" si="14"/>
        <v>PROVISIÓN PARA CONTINGENCIAS A CORTO PLAZO</v>
      </c>
      <c r="K590" s="11">
        <f t="shared" si="15"/>
        <v>0</v>
      </c>
      <c r="L590" s="11"/>
      <c r="M590" s="11"/>
    </row>
    <row r="591" spans="1:13" x14ac:dyDescent="0.2">
      <c r="A591" s="130">
        <v>55219</v>
      </c>
      <c r="B591" s="23" t="s">
        <v>337</v>
      </c>
      <c r="C591" s="207">
        <v>0</v>
      </c>
      <c r="D591" s="207">
        <v>0</v>
      </c>
      <c r="E591" s="207">
        <v>0</v>
      </c>
      <c r="F591" s="207">
        <v>0</v>
      </c>
      <c r="G591" s="207">
        <v>0</v>
      </c>
      <c r="H591" s="10">
        <f t="shared" si="16"/>
        <v>0</v>
      </c>
      <c r="I591" s="15">
        <f t="shared" si="18"/>
        <v>3</v>
      </c>
      <c r="J591" s="12" t="str">
        <f t="shared" si="14"/>
        <v>OTRAS PROVISIONES A CORTO PLAZO</v>
      </c>
      <c r="K591" s="11">
        <f t="shared" si="15"/>
        <v>0</v>
      </c>
      <c r="L591" s="11"/>
      <c r="M591" s="11"/>
    </row>
    <row r="592" spans="1:13" x14ac:dyDescent="0.2">
      <c r="A592" s="130">
        <v>55221</v>
      </c>
      <c r="B592" s="23" t="s">
        <v>368</v>
      </c>
      <c r="C592" s="207">
        <v>0</v>
      </c>
      <c r="D592" s="207">
        <v>0</v>
      </c>
      <c r="E592" s="207">
        <v>0</v>
      </c>
      <c r="F592" s="207">
        <v>0</v>
      </c>
      <c r="G592" s="207">
        <v>0</v>
      </c>
      <c r="H592" s="10">
        <f t="shared" si="16"/>
        <v>0</v>
      </c>
      <c r="I592" s="15">
        <f t="shared" si="18"/>
        <v>3</v>
      </c>
      <c r="J592" s="12" t="str">
        <f t="shared" si="14"/>
        <v>PROVISIÓN PARA DEMANDAS Y JUICIOS A LARGO PLAZO</v>
      </c>
      <c r="K592" s="11">
        <f t="shared" si="15"/>
        <v>0</v>
      </c>
      <c r="L592" s="11"/>
      <c r="M592" s="11"/>
    </row>
    <row r="593" spans="1:13" x14ac:dyDescent="0.2">
      <c r="A593" s="130">
        <v>55222</v>
      </c>
      <c r="B593" s="23" t="s">
        <v>546</v>
      </c>
      <c r="C593" s="207">
        <v>0</v>
      </c>
      <c r="D593" s="207">
        <v>0</v>
      </c>
      <c r="E593" s="207">
        <v>0</v>
      </c>
      <c r="F593" s="207">
        <v>0</v>
      </c>
      <c r="G593" s="207">
        <v>0</v>
      </c>
      <c r="H593" s="10">
        <f t="shared" si="16"/>
        <v>0</v>
      </c>
      <c r="I593" s="15">
        <f t="shared" si="18"/>
        <v>3</v>
      </c>
      <c r="J593" s="12" t="str">
        <f t="shared" si="14"/>
        <v>PROVISIÓN POR PENSIONES A LARGO PLAZO</v>
      </c>
      <c r="K593" s="11">
        <f t="shared" si="15"/>
        <v>0</v>
      </c>
      <c r="L593" s="11"/>
      <c r="M593" s="11"/>
    </row>
    <row r="594" spans="1:13" x14ac:dyDescent="0.2">
      <c r="A594" s="130">
        <v>55223</v>
      </c>
      <c r="B594" s="23" t="s">
        <v>370</v>
      </c>
      <c r="C594" s="207">
        <v>0</v>
      </c>
      <c r="D594" s="207">
        <v>0</v>
      </c>
      <c r="E594" s="207">
        <v>0</v>
      </c>
      <c r="F594" s="207">
        <v>0</v>
      </c>
      <c r="G594" s="207">
        <v>0</v>
      </c>
      <c r="H594" s="10">
        <f t="shared" si="16"/>
        <v>0</v>
      </c>
      <c r="I594" s="15">
        <f t="shared" si="18"/>
        <v>3</v>
      </c>
      <c r="J594" s="12" t="str">
        <f t="shared" si="14"/>
        <v>PROVISIÓN PARA CONTINGENCIAS A LARGO PLAZO</v>
      </c>
      <c r="K594" s="11">
        <f t="shared" si="15"/>
        <v>0</v>
      </c>
      <c r="L594" s="11"/>
      <c r="M594" s="11"/>
    </row>
    <row r="595" spans="1:13" x14ac:dyDescent="0.2">
      <c r="A595" s="130">
        <v>55229</v>
      </c>
      <c r="B595" s="23" t="s">
        <v>371</v>
      </c>
      <c r="C595" s="207">
        <v>0</v>
      </c>
      <c r="D595" s="207">
        <v>0</v>
      </c>
      <c r="E595" s="207">
        <v>0</v>
      </c>
      <c r="F595" s="207">
        <v>0</v>
      </c>
      <c r="G595" s="207">
        <v>0</v>
      </c>
      <c r="H595" s="10">
        <f t="shared" si="16"/>
        <v>0</v>
      </c>
      <c r="I595" s="15">
        <f t="shared" si="18"/>
        <v>3</v>
      </c>
      <c r="J595" s="12" t="str">
        <f t="shared" si="14"/>
        <v>OTRAS PROVISIONES A LARGO PLAZO</v>
      </c>
      <c r="K595" s="11">
        <f t="shared" si="15"/>
        <v>0</v>
      </c>
      <c r="L595" s="11"/>
      <c r="M595" s="11"/>
    </row>
    <row r="596" spans="1:13" x14ac:dyDescent="0.2">
      <c r="A596" s="130">
        <v>55310</v>
      </c>
      <c r="B596" s="23" t="s">
        <v>547</v>
      </c>
      <c r="C596" s="207">
        <v>0</v>
      </c>
      <c r="D596" s="207">
        <v>0</v>
      </c>
      <c r="E596" s="207">
        <v>0</v>
      </c>
      <c r="F596" s="207">
        <v>0</v>
      </c>
      <c r="G596" s="207">
        <v>0</v>
      </c>
      <c r="H596" s="10">
        <f t="shared" si="16"/>
        <v>0</v>
      </c>
      <c r="I596" s="15">
        <f t="shared" si="18"/>
        <v>3</v>
      </c>
      <c r="J596" s="12" t="str">
        <f t="shared" si="14"/>
        <v>DISMINUCIÓN DE INVENTARIOS DE MERCANCÍAS PARA VENTA</v>
      </c>
      <c r="K596" s="11">
        <f t="shared" si="15"/>
        <v>0</v>
      </c>
      <c r="L596" s="11"/>
      <c r="M596" s="11"/>
    </row>
    <row r="597" spans="1:13" x14ac:dyDescent="0.2">
      <c r="A597" s="130">
        <v>55320</v>
      </c>
      <c r="B597" s="23" t="s">
        <v>548</v>
      </c>
      <c r="C597" s="207">
        <v>0</v>
      </c>
      <c r="D597" s="207">
        <v>0</v>
      </c>
      <c r="E597" s="207">
        <v>0</v>
      </c>
      <c r="F597" s="207">
        <v>0</v>
      </c>
      <c r="G597" s="207">
        <v>0</v>
      </c>
      <c r="H597" s="10">
        <f t="shared" si="16"/>
        <v>0</v>
      </c>
      <c r="I597" s="15">
        <f t="shared" si="18"/>
        <v>3</v>
      </c>
      <c r="J597" s="12" t="str">
        <f t="shared" si="14"/>
        <v>DISMINUCIÓN DE INVENTARIOS DE MERCANCÍAS TERMINADAS</v>
      </c>
      <c r="K597" s="11">
        <f t="shared" si="15"/>
        <v>0</v>
      </c>
      <c r="L597" s="11"/>
      <c r="M597" s="11"/>
    </row>
    <row r="598" spans="1:13" x14ac:dyDescent="0.2">
      <c r="A598" s="130">
        <v>55330</v>
      </c>
      <c r="B598" s="23" t="s">
        <v>549</v>
      </c>
      <c r="C598" s="207">
        <v>0</v>
      </c>
      <c r="D598" s="207">
        <v>0</v>
      </c>
      <c r="E598" s="207">
        <v>0</v>
      </c>
      <c r="F598" s="207">
        <v>0</v>
      </c>
      <c r="G598" s="207">
        <v>0</v>
      </c>
      <c r="H598" s="10">
        <f t="shared" si="16"/>
        <v>0</v>
      </c>
      <c r="I598" s="15">
        <f t="shared" si="18"/>
        <v>3</v>
      </c>
      <c r="J598" s="12" t="str">
        <f t="shared" si="14"/>
        <v>DISMINUCIÓN DE INVENTARIOS DE MERCANCÍAS EN PROCESO DE ELABORACIÓN</v>
      </c>
      <c r="K598" s="11">
        <f t="shared" si="15"/>
        <v>0</v>
      </c>
      <c r="L598" s="11"/>
      <c r="M598" s="11"/>
    </row>
    <row r="599" spans="1:13" x14ac:dyDescent="0.2">
      <c r="A599" s="130">
        <v>55340</v>
      </c>
      <c r="B599" s="23" t="s">
        <v>550</v>
      </c>
      <c r="C599" s="207">
        <v>0</v>
      </c>
      <c r="D599" s="207">
        <v>0</v>
      </c>
      <c r="E599" s="207">
        <v>0</v>
      </c>
      <c r="F599" s="207">
        <v>0</v>
      </c>
      <c r="G599" s="207">
        <v>0</v>
      </c>
      <c r="H599" s="10">
        <f t="shared" si="16"/>
        <v>0</v>
      </c>
      <c r="I599" s="15">
        <f t="shared" si="18"/>
        <v>3</v>
      </c>
      <c r="J599" s="12" t="str">
        <f t="shared" si="14"/>
        <v>DISMINUCIÓN DE INVENTARIOS DE MATERIAS PRIMAS, MATERIALES Y SUMINISTROS PARA PRODUCCIÓN</v>
      </c>
      <c r="K599" s="11">
        <f t="shared" si="15"/>
        <v>0</v>
      </c>
      <c r="L599" s="11"/>
      <c r="M599" s="11"/>
    </row>
    <row r="600" spans="1:13" x14ac:dyDescent="0.2">
      <c r="A600" s="130">
        <v>55350</v>
      </c>
      <c r="B600" s="23" t="s">
        <v>551</v>
      </c>
      <c r="C600" s="207">
        <v>0</v>
      </c>
      <c r="D600" s="207">
        <v>0</v>
      </c>
      <c r="E600" s="207">
        <v>0</v>
      </c>
      <c r="F600" s="207">
        <v>0</v>
      </c>
      <c r="G600" s="207">
        <v>0</v>
      </c>
      <c r="H600" s="10">
        <f t="shared" si="16"/>
        <v>0</v>
      </c>
      <c r="I600" s="15">
        <f t="shared" si="18"/>
        <v>3</v>
      </c>
      <c r="J600" s="12" t="str">
        <f t="shared" si="14"/>
        <v>DISMINUCIÓN DE ALMACÉN DE MATERIALES Y SUMINISTROS DE CONSUMO</v>
      </c>
      <c r="K600" s="11">
        <f t="shared" si="15"/>
        <v>0</v>
      </c>
      <c r="L600" s="11"/>
      <c r="M600" s="11"/>
    </row>
    <row r="601" spans="1:13" x14ac:dyDescent="0.2">
      <c r="A601" s="130">
        <v>55410</v>
      </c>
      <c r="B601" s="23" t="s">
        <v>552</v>
      </c>
      <c r="C601" s="207">
        <v>0</v>
      </c>
      <c r="D601" s="207">
        <v>0</v>
      </c>
      <c r="E601" s="207">
        <v>0</v>
      </c>
      <c r="F601" s="207">
        <v>0</v>
      </c>
      <c r="G601" s="207">
        <v>0</v>
      </c>
      <c r="H601" s="10">
        <f t="shared" si="16"/>
        <v>0</v>
      </c>
      <c r="I601" s="15">
        <f t="shared" si="18"/>
        <v>3</v>
      </c>
      <c r="J601" s="12" t="str">
        <f t="shared" si="14"/>
        <v>AUMENTO POR INSUFICIENCIA DE ESTIMACIONES POR PÉRDIDA O DETERIORO U OBSOLESCENCIA</v>
      </c>
      <c r="K601" s="11">
        <f t="shared" si="15"/>
        <v>0</v>
      </c>
      <c r="L601" s="11"/>
      <c r="M601" s="11"/>
    </row>
    <row r="602" spans="1:13" x14ac:dyDescent="0.2">
      <c r="A602" s="130">
        <v>55510</v>
      </c>
      <c r="B602" s="23" t="s">
        <v>553</v>
      </c>
      <c r="C602" s="207">
        <v>0</v>
      </c>
      <c r="D602" s="207">
        <v>0</v>
      </c>
      <c r="E602" s="207">
        <v>0</v>
      </c>
      <c r="F602" s="207">
        <v>0</v>
      </c>
      <c r="G602" s="207">
        <v>0</v>
      </c>
      <c r="H602" s="10">
        <f t="shared" si="16"/>
        <v>0</v>
      </c>
      <c r="I602" s="15">
        <f t="shared" si="18"/>
        <v>3</v>
      </c>
      <c r="J602" s="12" t="str">
        <f t="shared" si="14"/>
        <v>AUMENTO POR INSUFICIENCIA DE PROVISIONES</v>
      </c>
      <c r="K602" s="11">
        <f t="shared" si="15"/>
        <v>0</v>
      </c>
      <c r="L602" s="11"/>
      <c r="M602" s="11"/>
    </row>
    <row r="603" spans="1:13" x14ac:dyDescent="0.2">
      <c r="A603" s="130">
        <v>55910</v>
      </c>
      <c r="B603" s="23" t="s">
        <v>554</v>
      </c>
      <c r="C603" s="207">
        <v>0</v>
      </c>
      <c r="D603" s="207">
        <v>0</v>
      </c>
      <c r="E603" s="207">
        <v>0</v>
      </c>
      <c r="F603" s="207">
        <v>0</v>
      </c>
      <c r="G603" s="207">
        <v>0</v>
      </c>
      <c r="H603" s="10">
        <f t="shared" si="16"/>
        <v>0</v>
      </c>
      <c r="I603" s="15">
        <f t="shared" si="18"/>
        <v>3</v>
      </c>
      <c r="J603" s="12" t="str">
        <f t="shared" si="14"/>
        <v>GASTOS DE EJERCICIOS ANTERIORES</v>
      </c>
      <c r="K603" s="11">
        <f t="shared" si="15"/>
        <v>0</v>
      </c>
      <c r="L603" s="11"/>
      <c r="M603" s="11"/>
    </row>
    <row r="604" spans="1:13" x14ac:dyDescent="0.2">
      <c r="A604" s="130">
        <v>55920</v>
      </c>
      <c r="B604" s="23" t="s">
        <v>555</v>
      </c>
      <c r="C604" s="207">
        <v>0</v>
      </c>
      <c r="D604" s="207">
        <v>0</v>
      </c>
      <c r="E604" s="207">
        <v>0</v>
      </c>
      <c r="F604" s="207">
        <v>0</v>
      </c>
      <c r="G604" s="207">
        <v>0</v>
      </c>
      <c r="H604" s="10">
        <f t="shared" si="16"/>
        <v>0</v>
      </c>
      <c r="I604" s="15">
        <f t="shared" si="18"/>
        <v>3</v>
      </c>
      <c r="J604" s="12" t="str">
        <f t="shared" si="14"/>
        <v>PÉRDIDAS POR RESPONSABILIDADES</v>
      </c>
      <c r="K604" s="11">
        <f t="shared" si="15"/>
        <v>0</v>
      </c>
      <c r="L604" s="11"/>
      <c r="M604" s="11"/>
    </row>
    <row r="605" spans="1:13" x14ac:dyDescent="0.2">
      <c r="A605" s="130">
        <v>55930</v>
      </c>
      <c r="B605" s="23" t="s">
        <v>556</v>
      </c>
      <c r="C605" s="207">
        <v>0</v>
      </c>
      <c r="D605" s="207">
        <v>0</v>
      </c>
      <c r="E605" s="207">
        <v>0</v>
      </c>
      <c r="F605" s="207">
        <v>0</v>
      </c>
      <c r="G605" s="207">
        <v>0</v>
      </c>
      <c r="H605" s="10">
        <f t="shared" si="16"/>
        <v>0</v>
      </c>
      <c r="I605" s="15">
        <f t="shared" si="18"/>
        <v>3</v>
      </c>
      <c r="J605" s="12" t="str">
        <f t="shared" si="14"/>
        <v>BONIFICACIONES Y DESCUENTOS OTORGADOS</v>
      </c>
      <c r="K605" s="11">
        <f t="shared" si="15"/>
        <v>0</v>
      </c>
      <c r="L605" s="11"/>
      <c r="M605" s="11"/>
    </row>
    <row r="606" spans="1:13" x14ac:dyDescent="0.2">
      <c r="A606" s="130">
        <v>55940</v>
      </c>
      <c r="B606" s="23" t="s">
        <v>557</v>
      </c>
      <c r="C606" s="207">
        <v>0</v>
      </c>
      <c r="D606" s="207">
        <v>0</v>
      </c>
      <c r="E606" s="207">
        <v>0</v>
      </c>
      <c r="F606" s="207">
        <v>0</v>
      </c>
      <c r="G606" s="207">
        <v>0</v>
      </c>
      <c r="H606" s="10">
        <f t="shared" si="16"/>
        <v>0</v>
      </c>
      <c r="I606" s="15">
        <f t="shared" si="18"/>
        <v>3</v>
      </c>
      <c r="J606" s="12" t="str">
        <f t="shared" si="14"/>
        <v>DIFERENCIAS POR TIPO DE CAMBIO NEGATIVAS EN EFECTIVO Y EQUIVALENTES</v>
      </c>
      <c r="K606" s="11">
        <f t="shared" si="15"/>
        <v>0</v>
      </c>
      <c r="L606" s="11"/>
      <c r="M606" s="11"/>
    </row>
    <row r="607" spans="1:13" x14ac:dyDescent="0.2">
      <c r="A607" s="130">
        <v>55950</v>
      </c>
      <c r="B607" s="23" t="s">
        <v>558</v>
      </c>
      <c r="C607" s="207">
        <v>0</v>
      </c>
      <c r="D607" s="207">
        <v>0</v>
      </c>
      <c r="E607" s="207">
        <v>0</v>
      </c>
      <c r="F607" s="207">
        <v>0</v>
      </c>
      <c r="G607" s="207">
        <v>0</v>
      </c>
      <c r="H607" s="10">
        <f t="shared" si="16"/>
        <v>0</v>
      </c>
      <c r="I607" s="15">
        <f t="shared" si="18"/>
        <v>3</v>
      </c>
      <c r="J607" s="12" t="str">
        <f t="shared" si="14"/>
        <v>DIFERENCIAS DE COTIZACIONES NEGATIVAS EN VALORES NEGOCIABLES</v>
      </c>
      <c r="K607" s="11">
        <f t="shared" si="15"/>
        <v>0</v>
      </c>
      <c r="L607" s="11"/>
      <c r="M607" s="11"/>
    </row>
    <row r="608" spans="1:13" x14ac:dyDescent="0.2">
      <c r="A608" s="130">
        <v>55960</v>
      </c>
      <c r="B608" s="23" t="s">
        <v>387</v>
      </c>
      <c r="C608" s="207">
        <v>0</v>
      </c>
      <c r="D608" s="207">
        <v>0</v>
      </c>
      <c r="E608" s="207">
        <v>0</v>
      </c>
      <c r="F608" s="207">
        <v>0</v>
      </c>
      <c r="G608" s="207">
        <v>0</v>
      </c>
      <c r="H608" s="10">
        <f t="shared" si="16"/>
        <v>0</v>
      </c>
      <c r="I608" s="15">
        <f t="shared" si="18"/>
        <v>3</v>
      </c>
      <c r="J608" s="12" t="str">
        <f t="shared" si="14"/>
        <v>RESULTADO POR POSICIÓN MONETARIA</v>
      </c>
      <c r="K608" s="11">
        <f t="shared" si="15"/>
        <v>0</v>
      </c>
      <c r="L608" s="11"/>
      <c r="M608" s="11"/>
    </row>
    <row r="609" spans="1:13" x14ac:dyDescent="0.2">
      <c r="A609" s="130">
        <v>55970</v>
      </c>
      <c r="B609" s="23" t="s">
        <v>559</v>
      </c>
      <c r="C609" s="207">
        <v>0</v>
      </c>
      <c r="D609" s="207">
        <v>0</v>
      </c>
      <c r="E609" s="207">
        <v>0</v>
      </c>
      <c r="F609" s="207">
        <v>0</v>
      </c>
      <c r="G609" s="207">
        <v>0</v>
      </c>
      <c r="H609" s="10">
        <f t="shared" si="16"/>
        <v>0</v>
      </c>
      <c r="I609" s="15">
        <f t="shared" si="18"/>
        <v>3</v>
      </c>
      <c r="J609" s="12" t="str">
        <f t="shared" si="14"/>
        <v>PÉRDIDAS POR PARTICIPACIÓN PATRIMONIAL</v>
      </c>
      <c r="K609" s="11">
        <f t="shared" si="15"/>
        <v>0</v>
      </c>
      <c r="L609" s="11"/>
      <c r="M609" s="11"/>
    </row>
    <row r="610" spans="1:13" x14ac:dyDescent="0.2">
      <c r="A610" s="130">
        <v>55990</v>
      </c>
      <c r="B610" s="23" t="s">
        <v>560</v>
      </c>
      <c r="C610" s="207">
        <v>0</v>
      </c>
      <c r="D610" s="207">
        <v>0</v>
      </c>
      <c r="E610" s="207">
        <v>0</v>
      </c>
      <c r="F610" s="207">
        <v>0</v>
      </c>
      <c r="G610" s="207">
        <v>0</v>
      </c>
      <c r="H610" s="10">
        <f t="shared" si="16"/>
        <v>0</v>
      </c>
      <c r="I610" s="15">
        <f t="shared" si="18"/>
        <v>3</v>
      </c>
      <c r="J610" s="12" t="str">
        <f t="shared" si="14"/>
        <v>OTROS GASTOS VARIOS</v>
      </c>
      <c r="K610" s="11">
        <f t="shared" si="15"/>
        <v>0</v>
      </c>
      <c r="L610" s="11"/>
      <c r="M610" s="11"/>
    </row>
    <row r="611" spans="1:13" x14ac:dyDescent="0.2">
      <c r="A611" s="130">
        <v>56110</v>
      </c>
      <c r="B611" s="23" t="s">
        <v>561</v>
      </c>
      <c r="C611" s="207">
        <v>0</v>
      </c>
      <c r="D611" s="207">
        <v>0</v>
      </c>
      <c r="E611" s="207">
        <v>0</v>
      </c>
      <c r="F611" s="207">
        <v>0</v>
      </c>
      <c r="G611" s="207">
        <v>0</v>
      </c>
      <c r="H611" s="10">
        <f t="shared" si="16"/>
        <v>0</v>
      </c>
      <c r="I611" s="15">
        <f t="shared" si="18"/>
        <v>3</v>
      </c>
      <c r="J611" s="12" t="str">
        <f t="shared" si="14"/>
        <v>CONSTRUCCIÓN EN BIENES NO CAPITALIZABLE</v>
      </c>
      <c r="K611" s="11">
        <f t="shared" si="15"/>
        <v>0</v>
      </c>
      <c r="L611" s="11"/>
      <c r="M611" s="11"/>
    </row>
    <row r="612" spans="1:13" x14ac:dyDescent="0.2">
      <c r="A612" s="130">
        <v>71110</v>
      </c>
      <c r="B612" s="23" t="s">
        <v>562</v>
      </c>
      <c r="C612" s="207">
        <v>0</v>
      </c>
      <c r="D612" s="207">
        <v>0</v>
      </c>
      <c r="E612" s="207">
        <v>0</v>
      </c>
      <c r="F612" s="207">
        <v>0</v>
      </c>
      <c r="G612" s="207">
        <v>0</v>
      </c>
      <c r="H612" s="10">
        <f t="shared" ref="H612:H657" si="19">ROUND(E612+F612-G612,2)</f>
        <v>0</v>
      </c>
      <c r="I612" s="10"/>
      <c r="J612" s="12"/>
      <c r="K612" s="11"/>
      <c r="L612" s="11"/>
      <c r="M612" s="11"/>
    </row>
    <row r="613" spans="1:13" x14ac:dyDescent="0.2">
      <c r="A613" s="130">
        <v>71210</v>
      </c>
      <c r="B613" s="23" t="s">
        <v>563</v>
      </c>
      <c r="C613" s="207">
        <v>0</v>
      </c>
      <c r="D613" s="207">
        <v>0</v>
      </c>
      <c r="E613" s="207">
        <v>0</v>
      </c>
      <c r="F613" s="207">
        <v>0</v>
      </c>
      <c r="G613" s="207">
        <v>0</v>
      </c>
      <c r="H613" s="10">
        <f t="shared" si="19"/>
        <v>0</v>
      </c>
      <c r="I613" s="10"/>
      <c r="J613" s="12"/>
      <c r="K613" s="11"/>
      <c r="L613" s="11"/>
      <c r="M613" s="11"/>
    </row>
    <row r="614" spans="1:13" x14ac:dyDescent="0.2">
      <c r="A614" s="130">
        <v>71310</v>
      </c>
      <c r="B614" s="23" t="s">
        <v>564</v>
      </c>
      <c r="C614" s="207">
        <v>0</v>
      </c>
      <c r="D614" s="207">
        <v>0</v>
      </c>
      <c r="E614" s="207">
        <v>0</v>
      </c>
      <c r="F614" s="207">
        <v>0</v>
      </c>
      <c r="G614" s="207">
        <v>0</v>
      </c>
      <c r="H614" s="10">
        <f t="shared" si="19"/>
        <v>0</v>
      </c>
      <c r="I614" s="10"/>
      <c r="J614" s="12"/>
      <c r="K614" s="11"/>
      <c r="L614" s="11"/>
      <c r="M614" s="11"/>
    </row>
    <row r="615" spans="1:13" x14ac:dyDescent="0.2">
      <c r="A615" s="130">
        <v>71410</v>
      </c>
      <c r="B615" s="23" t="s">
        <v>565</v>
      </c>
      <c r="C615" s="207">
        <v>0</v>
      </c>
      <c r="D615" s="207">
        <v>0</v>
      </c>
      <c r="E615" s="207">
        <v>0</v>
      </c>
      <c r="F615" s="207">
        <v>0</v>
      </c>
      <c r="G615" s="207">
        <v>0</v>
      </c>
      <c r="H615" s="10">
        <f t="shared" si="19"/>
        <v>0</v>
      </c>
      <c r="I615" s="10"/>
      <c r="J615" s="12"/>
      <c r="K615" s="11"/>
      <c r="L615" s="11"/>
      <c r="M615" s="11"/>
    </row>
    <row r="616" spans="1:13" x14ac:dyDescent="0.2">
      <c r="A616" s="130">
        <v>71510</v>
      </c>
      <c r="B616" s="23" t="s">
        <v>566</v>
      </c>
      <c r="C616" s="207">
        <v>0</v>
      </c>
      <c r="D616" s="207">
        <v>0</v>
      </c>
      <c r="E616" s="207">
        <v>0</v>
      </c>
      <c r="F616" s="207">
        <v>0</v>
      </c>
      <c r="G616" s="207">
        <v>0</v>
      </c>
      <c r="H616" s="10">
        <f t="shared" si="19"/>
        <v>0</v>
      </c>
      <c r="I616" s="10"/>
      <c r="J616" s="12"/>
      <c r="K616" s="11"/>
      <c r="L616" s="11"/>
      <c r="M616" s="11"/>
    </row>
    <row r="617" spans="1:13" x14ac:dyDescent="0.2">
      <c r="A617" s="130">
        <v>71610</v>
      </c>
      <c r="B617" s="23" t="s">
        <v>567</v>
      </c>
      <c r="C617" s="207">
        <v>0</v>
      </c>
      <c r="D617" s="207">
        <v>0</v>
      </c>
      <c r="E617" s="207">
        <v>0</v>
      </c>
      <c r="F617" s="207">
        <v>0</v>
      </c>
      <c r="G617" s="207">
        <v>0</v>
      </c>
      <c r="H617" s="10">
        <f t="shared" si="19"/>
        <v>0</v>
      </c>
      <c r="I617" s="10"/>
      <c r="J617" s="12"/>
      <c r="K617" s="11"/>
      <c r="L617" s="11"/>
      <c r="M617" s="11"/>
    </row>
    <row r="618" spans="1:13" x14ac:dyDescent="0.2">
      <c r="A618" s="130">
        <v>72110</v>
      </c>
      <c r="B618" s="23" t="s">
        <v>568</v>
      </c>
      <c r="C618" s="207">
        <v>0</v>
      </c>
      <c r="D618" s="207">
        <v>0</v>
      </c>
      <c r="E618" s="207">
        <v>0</v>
      </c>
      <c r="F618" s="207">
        <v>0</v>
      </c>
      <c r="G618" s="207">
        <v>0</v>
      </c>
      <c r="H618" s="10">
        <f t="shared" si="19"/>
        <v>0</v>
      </c>
      <c r="I618" s="10"/>
      <c r="J618" s="12"/>
      <c r="K618" s="11"/>
      <c r="L618" s="11"/>
      <c r="M618" s="11"/>
    </row>
    <row r="619" spans="1:13" x14ac:dyDescent="0.2">
      <c r="A619" s="130">
        <v>72210</v>
      </c>
      <c r="B619" s="23" t="s">
        <v>569</v>
      </c>
      <c r="C619" s="207">
        <v>0</v>
      </c>
      <c r="D619" s="207">
        <v>0</v>
      </c>
      <c r="E619" s="207">
        <v>0</v>
      </c>
      <c r="F619" s="207">
        <v>0</v>
      </c>
      <c r="G619" s="207">
        <v>0</v>
      </c>
      <c r="H619" s="10">
        <f t="shared" si="19"/>
        <v>0</v>
      </c>
      <c r="I619" s="10"/>
      <c r="J619" s="12"/>
      <c r="K619" s="11"/>
      <c r="L619" s="11"/>
      <c r="M619" s="11"/>
    </row>
    <row r="620" spans="1:13" x14ac:dyDescent="0.2">
      <c r="A620" s="130">
        <v>72310</v>
      </c>
      <c r="B620" s="23" t="s">
        <v>570</v>
      </c>
      <c r="C620" s="207">
        <v>0</v>
      </c>
      <c r="D620" s="207">
        <v>0</v>
      </c>
      <c r="E620" s="207">
        <v>0</v>
      </c>
      <c r="F620" s="207">
        <v>0</v>
      </c>
      <c r="G620" s="207">
        <v>0</v>
      </c>
      <c r="H620" s="10">
        <f t="shared" si="19"/>
        <v>0</v>
      </c>
      <c r="I620" s="10"/>
      <c r="J620" s="12"/>
      <c r="K620" s="11"/>
      <c r="L620" s="11"/>
      <c r="M620" s="11"/>
    </row>
    <row r="621" spans="1:13" x14ac:dyDescent="0.2">
      <c r="A621" s="130">
        <v>72410</v>
      </c>
      <c r="B621" s="23" t="s">
        <v>571</v>
      </c>
      <c r="C621" s="207">
        <v>0</v>
      </c>
      <c r="D621" s="207">
        <v>0</v>
      </c>
      <c r="E621" s="207">
        <v>0</v>
      </c>
      <c r="F621" s="207">
        <v>0</v>
      </c>
      <c r="G621" s="207">
        <v>0</v>
      </c>
      <c r="H621" s="10">
        <f t="shared" si="19"/>
        <v>0</v>
      </c>
      <c r="I621" s="10"/>
      <c r="J621" s="12"/>
      <c r="K621" s="11"/>
      <c r="L621" s="11"/>
      <c r="M621" s="11"/>
    </row>
    <row r="622" spans="1:13" x14ac:dyDescent="0.2">
      <c r="A622" s="130">
        <v>72510</v>
      </c>
      <c r="B622" s="23" t="s">
        <v>572</v>
      </c>
      <c r="C622" s="207">
        <v>0</v>
      </c>
      <c r="D622" s="207">
        <v>0</v>
      </c>
      <c r="E622" s="207">
        <v>0</v>
      </c>
      <c r="F622" s="207">
        <v>0</v>
      </c>
      <c r="G622" s="207">
        <v>0</v>
      </c>
      <c r="H622" s="10">
        <f t="shared" si="19"/>
        <v>0</v>
      </c>
      <c r="I622" s="10"/>
      <c r="J622" s="12"/>
      <c r="K622" s="11"/>
      <c r="L622" s="11"/>
      <c r="M622" s="11"/>
    </row>
    <row r="623" spans="1:13" x14ac:dyDescent="0.2">
      <c r="A623" s="130">
        <v>72610</v>
      </c>
      <c r="B623" s="23" t="s">
        <v>573</v>
      </c>
      <c r="C623" s="207">
        <v>0</v>
      </c>
      <c r="D623" s="207">
        <v>0</v>
      </c>
      <c r="E623" s="207">
        <v>0</v>
      </c>
      <c r="F623" s="207">
        <v>0</v>
      </c>
      <c r="G623" s="207">
        <v>0</v>
      </c>
      <c r="H623" s="10">
        <f t="shared" si="19"/>
        <v>0</v>
      </c>
      <c r="I623" s="10"/>
      <c r="J623" s="12"/>
      <c r="K623" s="11"/>
      <c r="L623" s="11"/>
      <c r="M623" s="11"/>
    </row>
    <row r="624" spans="1:13" x14ac:dyDescent="0.2">
      <c r="A624" s="130">
        <v>73110</v>
      </c>
      <c r="B624" s="23" t="s">
        <v>574</v>
      </c>
      <c r="C624" s="207">
        <v>0</v>
      </c>
      <c r="D624" s="207">
        <v>0</v>
      </c>
      <c r="E624" s="207">
        <v>0</v>
      </c>
      <c r="F624" s="207">
        <v>0</v>
      </c>
      <c r="G624" s="207">
        <v>0</v>
      </c>
      <c r="H624" s="10">
        <f t="shared" si="19"/>
        <v>0</v>
      </c>
      <c r="I624" s="10"/>
      <c r="J624" s="12"/>
      <c r="K624" s="11"/>
      <c r="L624" s="11"/>
      <c r="M624" s="11"/>
    </row>
    <row r="625" spans="1:13" x14ac:dyDescent="0.2">
      <c r="A625" s="130">
        <v>73210</v>
      </c>
      <c r="B625" s="23" t="s">
        <v>575</v>
      </c>
      <c r="C625" s="207">
        <v>0</v>
      </c>
      <c r="D625" s="207">
        <v>0</v>
      </c>
      <c r="E625" s="207">
        <v>0</v>
      </c>
      <c r="F625" s="207">
        <v>0</v>
      </c>
      <c r="G625" s="207">
        <v>0</v>
      </c>
      <c r="H625" s="10">
        <f t="shared" si="19"/>
        <v>0</v>
      </c>
      <c r="I625" s="10"/>
      <c r="J625" s="12"/>
      <c r="K625" s="11"/>
      <c r="L625" s="11"/>
      <c r="M625" s="11"/>
    </row>
    <row r="626" spans="1:13" x14ac:dyDescent="0.2">
      <c r="A626" s="130">
        <v>73310</v>
      </c>
      <c r="B626" s="23" t="s">
        <v>576</v>
      </c>
      <c r="C626" s="207">
        <v>0</v>
      </c>
      <c r="D626" s="207">
        <v>0</v>
      </c>
      <c r="E626" s="207">
        <v>0</v>
      </c>
      <c r="F626" s="207">
        <v>0</v>
      </c>
      <c r="G626" s="207">
        <v>0</v>
      </c>
      <c r="H626" s="10">
        <f t="shared" si="19"/>
        <v>0</v>
      </c>
      <c r="I626" s="10"/>
      <c r="J626" s="12"/>
      <c r="K626" s="11"/>
      <c r="L626" s="11"/>
      <c r="M626" s="11"/>
    </row>
    <row r="627" spans="1:13" x14ac:dyDescent="0.2">
      <c r="A627" s="130">
        <v>73410</v>
      </c>
      <c r="B627" s="23" t="s">
        <v>577</v>
      </c>
      <c r="C627" s="207">
        <v>0</v>
      </c>
      <c r="D627" s="207">
        <v>0</v>
      </c>
      <c r="E627" s="207">
        <v>0</v>
      </c>
      <c r="F627" s="207">
        <v>0</v>
      </c>
      <c r="G627" s="207">
        <v>0</v>
      </c>
      <c r="H627" s="10">
        <f t="shared" si="19"/>
        <v>0</v>
      </c>
      <c r="I627" s="10"/>
      <c r="J627" s="12"/>
      <c r="K627" s="11"/>
      <c r="L627" s="11"/>
      <c r="M627" s="11"/>
    </row>
    <row r="628" spans="1:13" x14ac:dyDescent="0.2">
      <c r="A628" s="130">
        <v>73510</v>
      </c>
      <c r="B628" s="23" t="s">
        <v>578</v>
      </c>
      <c r="C628" s="207">
        <v>0</v>
      </c>
      <c r="D628" s="207">
        <v>0</v>
      </c>
      <c r="E628" s="207">
        <v>0</v>
      </c>
      <c r="F628" s="207">
        <v>0</v>
      </c>
      <c r="G628" s="207">
        <v>0</v>
      </c>
      <c r="H628" s="10">
        <f t="shared" si="19"/>
        <v>0</v>
      </c>
      <c r="I628" s="10"/>
      <c r="J628" s="12"/>
      <c r="K628" s="11"/>
      <c r="L628" s="11"/>
      <c r="M628" s="11"/>
    </row>
    <row r="629" spans="1:13" x14ac:dyDescent="0.2">
      <c r="A629" s="130">
        <v>73610</v>
      </c>
      <c r="B629" s="23" t="s">
        <v>579</v>
      </c>
      <c r="C629" s="207">
        <v>0</v>
      </c>
      <c r="D629" s="207">
        <v>0</v>
      </c>
      <c r="E629" s="207">
        <v>0</v>
      </c>
      <c r="F629" s="207">
        <v>0</v>
      </c>
      <c r="G629" s="207">
        <v>0</v>
      </c>
      <c r="H629" s="10">
        <f t="shared" si="19"/>
        <v>0</v>
      </c>
      <c r="I629" s="10"/>
      <c r="J629" s="12"/>
      <c r="K629" s="11"/>
      <c r="L629" s="11"/>
      <c r="M629" s="11"/>
    </row>
    <row r="630" spans="1:13" x14ac:dyDescent="0.2">
      <c r="A630" s="130">
        <v>74110</v>
      </c>
      <c r="B630" s="23" t="s">
        <v>580</v>
      </c>
      <c r="C630" s="207">
        <v>0</v>
      </c>
      <c r="D630" s="207">
        <v>0</v>
      </c>
      <c r="E630" s="207">
        <v>0</v>
      </c>
      <c r="F630" s="207">
        <v>0</v>
      </c>
      <c r="G630" s="207">
        <v>0</v>
      </c>
      <c r="H630" s="10">
        <f t="shared" si="19"/>
        <v>0</v>
      </c>
      <c r="I630" s="10"/>
      <c r="J630" s="12"/>
      <c r="K630" s="11"/>
      <c r="L630" s="11"/>
      <c r="M630" s="11"/>
    </row>
    <row r="631" spans="1:13" x14ac:dyDescent="0.2">
      <c r="A631" s="130">
        <v>74210</v>
      </c>
      <c r="B631" s="23" t="s">
        <v>581</v>
      </c>
      <c r="C631" s="207">
        <v>0</v>
      </c>
      <c r="D631" s="207">
        <v>0</v>
      </c>
      <c r="E631" s="207">
        <v>0</v>
      </c>
      <c r="F631" s="207">
        <v>0</v>
      </c>
      <c r="G631" s="207">
        <v>0</v>
      </c>
      <c r="H631" s="10">
        <f t="shared" si="19"/>
        <v>0</v>
      </c>
      <c r="I631" s="10"/>
      <c r="J631" s="12"/>
      <c r="K631" s="11"/>
      <c r="L631" s="11"/>
      <c r="M631" s="11"/>
    </row>
    <row r="632" spans="1:13" x14ac:dyDescent="0.2">
      <c r="A632" s="130">
        <v>75110</v>
      </c>
      <c r="B632" s="23" t="s">
        <v>582</v>
      </c>
      <c r="C632" s="207">
        <v>0</v>
      </c>
      <c r="D632" s="207">
        <v>0</v>
      </c>
      <c r="E632" s="207">
        <v>0</v>
      </c>
      <c r="F632" s="207">
        <v>0</v>
      </c>
      <c r="G632" s="207">
        <v>0</v>
      </c>
      <c r="H632" s="10">
        <f t="shared" si="19"/>
        <v>0</v>
      </c>
      <c r="I632" s="10"/>
      <c r="J632" s="12"/>
      <c r="K632" s="11"/>
      <c r="L632" s="11"/>
      <c r="M632" s="11"/>
    </row>
    <row r="633" spans="1:13" x14ac:dyDescent="0.2">
      <c r="A633" s="130">
        <v>75210</v>
      </c>
      <c r="B633" s="23" t="s">
        <v>583</v>
      </c>
      <c r="C633" s="207">
        <v>0</v>
      </c>
      <c r="D633" s="207">
        <v>0</v>
      </c>
      <c r="E633" s="207">
        <v>0</v>
      </c>
      <c r="F633" s="207">
        <v>0</v>
      </c>
      <c r="G633" s="207">
        <v>0</v>
      </c>
      <c r="H633" s="10">
        <f t="shared" si="19"/>
        <v>0</v>
      </c>
      <c r="I633" s="10"/>
      <c r="J633" s="12"/>
      <c r="K633" s="11"/>
      <c r="L633" s="11"/>
      <c r="M633" s="11"/>
    </row>
    <row r="634" spans="1:13" x14ac:dyDescent="0.2">
      <c r="A634" s="130">
        <v>76110</v>
      </c>
      <c r="B634" s="23" t="s">
        <v>584</v>
      </c>
      <c r="C634" s="207">
        <v>0</v>
      </c>
      <c r="D634" s="207">
        <v>0</v>
      </c>
      <c r="E634" s="207">
        <v>0</v>
      </c>
      <c r="F634" s="207">
        <v>0</v>
      </c>
      <c r="G634" s="207">
        <v>0</v>
      </c>
      <c r="H634" s="10">
        <f t="shared" si="19"/>
        <v>0</v>
      </c>
      <c r="I634" s="10"/>
      <c r="J634" s="12"/>
      <c r="K634" s="11"/>
      <c r="L634" s="11"/>
      <c r="M634" s="11"/>
    </row>
    <row r="635" spans="1:13" x14ac:dyDescent="0.2">
      <c r="A635" s="130">
        <v>76210</v>
      </c>
      <c r="B635" s="23" t="s">
        <v>585</v>
      </c>
      <c r="C635" s="207">
        <v>0</v>
      </c>
      <c r="D635" s="207">
        <v>0</v>
      </c>
      <c r="E635" s="207">
        <v>0</v>
      </c>
      <c r="F635" s="207">
        <v>0</v>
      </c>
      <c r="G635" s="207">
        <v>0</v>
      </c>
      <c r="H635" s="10">
        <f t="shared" si="19"/>
        <v>0</v>
      </c>
      <c r="I635" s="10"/>
      <c r="J635" s="12"/>
      <c r="K635" s="11"/>
      <c r="L635" s="11"/>
      <c r="M635" s="11"/>
    </row>
    <row r="636" spans="1:13" x14ac:dyDescent="0.2">
      <c r="A636" s="130">
        <v>76310</v>
      </c>
      <c r="B636" s="23" t="s">
        <v>586</v>
      </c>
      <c r="C636" s="207">
        <v>0</v>
      </c>
      <c r="D636" s="207">
        <v>0</v>
      </c>
      <c r="E636" s="207">
        <v>0</v>
      </c>
      <c r="F636" s="207">
        <v>0</v>
      </c>
      <c r="G636" s="207">
        <v>0</v>
      </c>
      <c r="H636" s="10">
        <f t="shared" si="19"/>
        <v>0</v>
      </c>
      <c r="I636" s="10"/>
      <c r="J636" s="12"/>
      <c r="K636" s="11"/>
      <c r="L636" s="11"/>
      <c r="M636" s="11"/>
    </row>
    <row r="637" spans="1:13" x14ac:dyDescent="0.2">
      <c r="A637" s="130">
        <v>76410</v>
      </c>
      <c r="B637" s="23" t="s">
        <v>587</v>
      </c>
      <c r="C637" s="207">
        <v>0</v>
      </c>
      <c r="D637" s="207">
        <v>0</v>
      </c>
      <c r="E637" s="207">
        <v>0</v>
      </c>
      <c r="F637" s="207">
        <v>0</v>
      </c>
      <c r="G637" s="207">
        <v>0</v>
      </c>
      <c r="H637" s="10">
        <f t="shared" si="19"/>
        <v>0</v>
      </c>
      <c r="I637" s="10"/>
      <c r="J637" s="12"/>
      <c r="K637" s="11"/>
      <c r="L637" s="11"/>
      <c r="M637" s="11"/>
    </row>
    <row r="638" spans="1:13" x14ac:dyDescent="0.2">
      <c r="A638" s="130">
        <v>78110</v>
      </c>
      <c r="B638" s="23" t="s">
        <v>588</v>
      </c>
      <c r="C638" s="207">
        <v>0</v>
      </c>
      <c r="D638" s="207">
        <v>0</v>
      </c>
      <c r="E638" s="207">
        <v>0</v>
      </c>
      <c r="F638" s="207">
        <v>0</v>
      </c>
      <c r="G638" s="207">
        <v>0</v>
      </c>
      <c r="H638" s="10">
        <f t="shared" si="19"/>
        <v>0</v>
      </c>
      <c r="I638" s="10"/>
      <c r="J638" s="12"/>
      <c r="K638" s="11"/>
      <c r="L638" s="11"/>
      <c r="M638" s="11"/>
    </row>
    <row r="639" spans="1:13" x14ac:dyDescent="0.2">
      <c r="A639" s="130">
        <v>78120</v>
      </c>
      <c r="B639" s="23" t="s">
        <v>589</v>
      </c>
      <c r="C639" s="207">
        <v>0</v>
      </c>
      <c r="D639" s="207">
        <v>0</v>
      </c>
      <c r="E639" s="207">
        <v>0</v>
      </c>
      <c r="F639" s="207">
        <v>0</v>
      </c>
      <c r="G639" s="207">
        <v>0</v>
      </c>
      <c r="H639" s="10">
        <f t="shared" si="19"/>
        <v>0</v>
      </c>
      <c r="I639" s="10"/>
      <c r="J639" s="12"/>
      <c r="K639" s="11"/>
      <c r="L639" s="11"/>
      <c r="M639" s="11"/>
    </row>
    <row r="640" spans="1:13" x14ac:dyDescent="0.2">
      <c r="A640" s="130">
        <v>78130</v>
      </c>
      <c r="B640" s="23" t="s">
        <v>590</v>
      </c>
      <c r="C640" s="207">
        <v>0</v>
      </c>
      <c r="D640" s="207">
        <v>0</v>
      </c>
      <c r="E640" s="207">
        <v>0</v>
      </c>
      <c r="F640" s="207">
        <v>0</v>
      </c>
      <c r="G640" s="207">
        <v>0</v>
      </c>
      <c r="H640" s="10">
        <f t="shared" si="19"/>
        <v>0</v>
      </c>
      <c r="I640" s="10"/>
      <c r="J640" s="12"/>
      <c r="K640" s="11"/>
      <c r="L640" s="11"/>
      <c r="M640" s="11"/>
    </row>
    <row r="641" spans="1:13" x14ac:dyDescent="0.2">
      <c r="A641" s="130">
        <v>78210</v>
      </c>
      <c r="B641" s="23" t="s">
        <v>591</v>
      </c>
      <c r="C641" s="207">
        <v>0</v>
      </c>
      <c r="D641" s="207">
        <v>0</v>
      </c>
      <c r="E641" s="207">
        <v>0</v>
      </c>
      <c r="F641" s="207">
        <v>0</v>
      </c>
      <c r="G641" s="207">
        <v>0</v>
      </c>
      <c r="H641" s="10">
        <f t="shared" si="19"/>
        <v>0</v>
      </c>
      <c r="I641" s="10"/>
      <c r="J641" s="12"/>
      <c r="K641" s="11"/>
      <c r="L641" s="11"/>
      <c r="M641" s="11"/>
    </row>
    <row r="642" spans="1:13" x14ac:dyDescent="0.2">
      <c r="A642" s="130">
        <v>78220</v>
      </c>
      <c r="B642" s="23" t="s">
        <v>592</v>
      </c>
      <c r="C642" s="207">
        <v>0</v>
      </c>
      <c r="D642" s="207">
        <v>0</v>
      </c>
      <c r="E642" s="207">
        <v>0</v>
      </c>
      <c r="F642" s="207">
        <v>0</v>
      </c>
      <c r="G642" s="207">
        <v>0</v>
      </c>
      <c r="H642" s="10">
        <f t="shared" si="19"/>
        <v>0</v>
      </c>
      <c r="I642" s="10"/>
      <c r="J642" s="12"/>
      <c r="K642" s="11"/>
      <c r="L642" s="11"/>
      <c r="M642" s="11"/>
    </row>
    <row r="643" spans="1:13" x14ac:dyDescent="0.2">
      <c r="A643" s="130">
        <v>78230</v>
      </c>
      <c r="B643" s="23" t="s">
        <v>593</v>
      </c>
      <c r="C643" s="207">
        <v>0</v>
      </c>
      <c r="D643" s="207">
        <v>0</v>
      </c>
      <c r="E643" s="207">
        <v>0</v>
      </c>
      <c r="F643" s="207">
        <v>0</v>
      </c>
      <c r="G643" s="207">
        <v>0</v>
      </c>
      <c r="H643" s="10">
        <f t="shared" si="19"/>
        <v>0</v>
      </c>
      <c r="I643" s="10"/>
      <c r="J643" s="12"/>
      <c r="K643" s="11"/>
      <c r="L643" s="11"/>
      <c r="M643" s="11"/>
    </row>
    <row r="644" spans="1:13" x14ac:dyDescent="0.2">
      <c r="A644" s="130">
        <v>78310</v>
      </c>
      <c r="B644" s="23" t="s">
        <v>594</v>
      </c>
      <c r="C644" s="207">
        <v>0</v>
      </c>
      <c r="D644" s="207">
        <v>0</v>
      </c>
      <c r="E644" s="207">
        <v>0</v>
      </c>
      <c r="F644" s="207">
        <v>0</v>
      </c>
      <c r="G644" s="207">
        <v>0</v>
      </c>
      <c r="H644" s="10">
        <f t="shared" si="19"/>
        <v>0</v>
      </c>
      <c r="I644" s="10"/>
      <c r="J644" s="12"/>
      <c r="K644" s="11"/>
      <c r="L644" s="11"/>
      <c r="M644" s="11"/>
    </row>
    <row r="645" spans="1:13" x14ac:dyDescent="0.2">
      <c r="A645" s="130">
        <v>78320</v>
      </c>
      <c r="B645" s="23" t="s">
        <v>595</v>
      </c>
      <c r="C645" s="207">
        <v>0</v>
      </c>
      <c r="D645" s="207">
        <v>0</v>
      </c>
      <c r="E645" s="207">
        <v>0</v>
      </c>
      <c r="F645" s="207">
        <v>0</v>
      </c>
      <c r="G645" s="207">
        <v>0</v>
      </c>
      <c r="H645" s="10">
        <f t="shared" si="19"/>
        <v>0</v>
      </c>
      <c r="I645" s="10"/>
      <c r="J645" s="12"/>
      <c r="K645" s="11"/>
      <c r="L645" s="11"/>
      <c r="M645" s="11"/>
    </row>
    <row r="646" spans="1:13" x14ac:dyDescent="0.2">
      <c r="A646" s="130">
        <v>78410</v>
      </c>
      <c r="B646" s="23" t="s">
        <v>596</v>
      </c>
      <c r="C646" s="207">
        <v>0</v>
      </c>
      <c r="D646" s="207">
        <v>0</v>
      </c>
      <c r="E646" s="207">
        <v>0</v>
      </c>
      <c r="F646" s="207">
        <v>0</v>
      </c>
      <c r="G646" s="207">
        <v>0</v>
      </c>
      <c r="H646" s="10">
        <f t="shared" si="19"/>
        <v>0</v>
      </c>
      <c r="I646" s="10"/>
      <c r="J646" s="12"/>
      <c r="K646" s="11"/>
      <c r="L646" s="11"/>
      <c r="M646" s="11"/>
    </row>
    <row r="647" spans="1:13" x14ac:dyDescent="0.2">
      <c r="A647" s="130">
        <v>78420</v>
      </c>
      <c r="B647" s="23" t="s">
        <v>597</v>
      </c>
      <c r="C647" s="207">
        <v>0</v>
      </c>
      <c r="D647" s="207">
        <v>0</v>
      </c>
      <c r="E647" s="207">
        <v>0</v>
      </c>
      <c r="F647" s="207">
        <v>0</v>
      </c>
      <c r="G647" s="207">
        <v>0</v>
      </c>
      <c r="H647" s="10">
        <f t="shared" si="19"/>
        <v>0</v>
      </c>
      <c r="I647" s="10"/>
      <c r="J647" s="12"/>
      <c r="K647" s="11"/>
      <c r="L647" s="11"/>
      <c r="M647" s="11"/>
    </row>
    <row r="648" spans="1:13" x14ac:dyDescent="0.2">
      <c r="A648" s="130">
        <v>78510</v>
      </c>
      <c r="B648" s="23" t="s">
        <v>598</v>
      </c>
      <c r="C648" s="207">
        <v>0</v>
      </c>
      <c r="D648" s="207">
        <v>0</v>
      </c>
      <c r="E648" s="207">
        <v>0</v>
      </c>
      <c r="F648" s="207">
        <v>0</v>
      </c>
      <c r="G648" s="207">
        <v>0</v>
      </c>
      <c r="H648" s="10">
        <f t="shared" si="19"/>
        <v>0</v>
      </c>
      <c r="I648" s="10"/>
      <c r="J648" s="12"/>
      <c r="K648" s="11"/>
      <c r="L648" s="11"/>
      <c r="M648" s="11"/>
    </row>
    <row r="649" spans="1:13" x14ac:dyDescent="0.2">
      <c r="A649" s="130">
        <v>78520</v>
      </c>
      <c r="B649" s="23" t="s">
        <v>599</v>
      </c>
      <c r="C649" s="207">
        <v>0</v>
      </c>
      <c r="D649" s="207">
        <v>0</v>
      </c>
      <c r="E649" s="207">
        <v>0</v>
      </c>
      <c r="F649" s="207">
        <v>0</v>
      </c>
      <c r="G649" s="207">
        <v>0</v>
      </c>
      <c r="H649" s="10">
        <f t="shared" si="19"/>
        <v>0</v>
      </c>
      <c r="I649" s="10"/>
      <c r="J649" s="12"/>
      <c r="K649" s="11"/>
      <c r="L649" s="11"/>
      <c r="M649" s="11"/>
    </row>
    <row r="650" spans="1:13" x14ac:dyDescent="0.2">
      <c r="A650" s="130">
        <v>78530</v>
      </c>
      <c r="B650" s="23" t="s">
        <v>600</v>
      </c>
      <c r="C650" s="207">
        <v>0</v>
      </c>
      <c r="D650" s="207">
        <v>0</v>
      </c>
      <c r="E650" s="207">
        <v>0</v>
      </c>
      <c r="F650" s="207">
        <v>0</v>
      </c>
      <c r="G650" s="207">
        <v>0</v>
      </c>
      <c r="H650" s="10">
        <f t="shared" si="19"/>
        <v>0</v>
      </c>
      <c r="I650" s="10"/>
      <c r="J650" s="12"/>
      <c r="K650" s="11"/>
      <c r="L650" s="11"/>
      <c r="M650" s="11"/>
    </row>
    <row r="651" spans="1:13" x14ac:dyDescent="0.2">
      <c r="A651" s="130">
        <v>78540</v>
      </c>
      <c r="B651" s="23" t="s">
        <v>601</v>
      </c>
      <c r="C651" s="207">
        <v>0</v>
      </c>
      <c r="D651" s="207">
        <v>0</v>
      </c>
      <c r="E651" s="207">
        <v>0</v>
      </c>
      <c r="F651" s="207">
        <v>0</v>
      </c>
      <c r="G651" s="207">
        <v>0</v>
      </c>
      <c r="H651" s="10">
        <f t="shared" si="19"/>
        <v>0</v>
      </c>
      <c r="I651" s="10"/>
      <c r="J651" s="12"/>
      <c r="K651" s="11"/>
      <c r="L651" s="11"/>
      <c r="M651" s="11"/>
    </row>
    <row r="652" spans="1:13" x14ac:dyDescent="0.2">
      <c r="A652" s="130">
        <v>78610</v>
      </c>
      <c r="B652" s="23" t="s">
        <v>602</v>
      </c>
      <c r="C652" s="207">
        <v>0</v>
      </c>
      <c r="D652" s="207">
        <v>0</v>
      </c>
      <c r="E652" s="207">
        <v>0</v>
      </c>
      <c r="F652" s="207">
        <v>0</v>
      </c>
      <c r="G652" s="207">
        <v>0</v>
      </c>
      <c r="H652" s="10">
        <f t="shared" si="19"/>
        <v>0</v>
      </c>
      <c r="I652" s="10"/>
      <c r="J652" s="12"/>
      <c r="K652" s="11"/>
      <c r="L652" s="11"/>
      <c r="M652" s="11"/>
    </row>
    <row r="653" spans="1:13" x14ac:dyDescent="0.2">
      <c r="A653" s="130">
        <v>78620</v>
      </c>
      <c r="B653" s="23" t="s">
        <v>603</v>
      </c>
      <c r="C653" s="207">
        <v>0</v>
      </c>
      <c r="D653" s="207">
        <v>0</v>
      </c>
      <c r="E653" s="207">
        <v>0</v>
      </c>
      <c r="F653" s="207">
        <v>0</v>
      </c>
      <c r="G653" s="207">
        <v>0</v>
      </c>
      <c r="H653" s="10">
        <f t="shared" si="19"/>
        <v>0</v>
      </c>
      <c r="I653" s="10"/>
      <c r="J653" s="12"/>
      <c r="K653" s="11"/>
      <c r="L653" s="11"/>
      <c r="M653" s="11"/>
    </row>
    <row r="654" spans="1:13" x14ac:dyDescent="0.2">
      <c r="A654" s="130">
        <v>78630</v>
      </c>
      <c r="B654" s="23" t="s">
        <v>604</v>
      </c>
      <c r="C654" s="207">
        <v>0</v>
      </c>
      <c r="D654" s="207">
        <v>0</v>
      </c>
      <c r="E654" s="207">
        <v>0</v>
      </c>
      <c r="F654" s="207">
        <v>0</v>
      </c>
      <c r="G654" s="207">
        <v>0</v>
      </c>
      <c r="H654" s="10">
        <f t="shared" si="19"/>
        <v>0</v>
      </c>
      <c r="I654" s="10"/>
      <c r="J654" s="12"/>
      <c r="K654" s="11"/>
      <c r="L654" s="11"/>
      <c r="M654" s="11"/>
    </row>
    <row r="655" spans="1:13" x14ac:dyDescent="0.2">
      <c r="A655" s="130">
        <v>78640</v>
      </c>
      <c r="B655" s="23" t="s">
        <v>605</v>
      </c>
      <c r="C655" s="207">
        <v>0</v>
      </c>
      <c r="D655" s="207">
        <v>0</v>
      </c>
      <c r="E655" s="207">
        <v>0</v>
      </c>
      <c r="F655" s="207">
        <v>0</v>
      </c>
      <c r="G655" s="207">
        <v>0</v>
      </c>
      <c r="H655" s="10">
        <f t="shared" si="19"/>
        <v>0</v>
      </c>
      <c r="I655" s="10"/>
      <c r="J655" s="12"/>
      <c r="K655" s="11"/>
      <c r="L655" s="11"/>
      <c r="M655" s="11"/>
    </row>
    <row r="656" spans="1:13" x14ac:dyDescent="0.2">
      <c r="A656" s="130">
        <v>79110</v>
      </c>
      <c r="B656" s="23" t="s">
        <v>606</v>
      </c>
      <c r="C656" s="207">
        <v>0</v>
      </c>
      <c r="D656" s="207">
        <v>0</v>
      </c>
      <c r="E656" s="207">
        <v>0</v>
      </c>
      <c r="F656" s="207">
        <v>0</v>
      </c>
      <c r="G656" s="207">
        <v>0</v>
      </c>
      <c r="H656" s="10">
        <f t="shared" si="19"/>
        <v>0</v>
      </c>
      <c r="I656" s="10"/>
      <c r="J656" s="12"/>
      <c r="K656" s="11"/>
      <c r="L656" s="11"/>
      <c r="M656" s="11"/>
    </row>
    <row r="657" spans="1:13" x14ac:dyDescent="0.2">
      <c r="A657" s="130">
        <v>79210</v>
      </c>
      <c r="B657" s="23" t="s">
        <v>607</v>
      </c>
      <c r="C657" s="207">
        <v>0</v>
      </c>
      <c r="D657" s="207">
        <v>0</v>
      </c>
      <c r="E657" s="207">
        <v>0</v>
      </c>
      <c r="F657" s="207">
        <v>0</v>
      </c>
      <c r="G657" s="207">
        <v>0</v>
      </c>
      <c r="H657" s="10">
        <f t="shared" si="19"/>
        <v>0</v>
      </c>
      <c r="I657" s="10"/>
      <c r="J657" s="12"/>
      <c r="K657" s="11"/>
      <c r="L657" s="11"/>
      <c r="M657" s="11"/>
    </row>
    <row r="658" spans="1:13" x14ac:dyDescent="0.2">
      <c r="A658" s="130">
        <v>81110</v>
      </c>
      <c r="B658" s="23" t="s">
        <v>608</v>
      </c>
      <c r="C658" s="207">
        <v>0</v>
      </c>
      <c r="D658" s="207">
        <v>0</v>
      </c>
      <c r="E658" s="207">
        <v>0</v>
      </c>
      <c r="F658" s="207">
        <v>0</v>
      </c>
      <c r="G658" s="207">
        <v>0</v>
      </c>
      <c r="H658" s="10">
        <f>ROUND(F658-G658,2)</f>
        <v>0</v>
      </c>
      <c r="I658" s="10"/>
      <c r="J658" s="12"/>
      <c r="K658" s="11"/>
      <c r="L658" s="11"/>
      <c r="M658" s="11"/>
    </row>
    <row r="659" spans="1:13" x14ac:dyDescent="0.2">
      <c r="A659" s="130">
        <v>81210</v>
      </c>
      <c r="B659" s="23" t="s">
        <v>609</v>
      </c>
      <c r="C659" s="207">
        <v>0</v>
      </c>
      <c r="D659" s="207">
        <v>0</v>
      </c>
      <c r="E659" s="207">
        <v>0</v>
      </c>
      <c r="F659" s="207">
        <v>0</v>
      </c>
      <c r="G659" s="207">
        <v>0</v>
      </c>
      <c r="H659" s="10">
        <f t="shared" ref="H659:H672" si="20">ROUND(F659-G659,2)</f>
        <v>0</v>
      </c>
      <c r="I659" s="10"/>
      <c r="J659" s="12"/>
      <c r="K659" s="11"/>
      <c r="L659" s="11"/>
      <c r="M659" s="11"/>
    </row>
    <row r="660" spans="1:13" x14ac:dyDescent="0.2">
      <c r="A660" s="130">
        <v>81310</v>
      </c>
      <c r="B660" s="23" t="s">
        <v>610</v>
      </c>
      <c r="C660" s="207">
        <v>0</v>
      </c>
      <c r="D660" s="207">
        <v>0</v>
      </c>
      <c r="E660" s="207">
        <v>0</v>
      </c>
      <c r="F660" s="207">
        <v>0</v>
      </c>
      <c r="G660" s="207">
        <v>0</v>
      </c>
      <c r="H660" s="10">
        <f t="shared" si="20"/>
        <v>0</v>
      </c>
      <c r="I660" s="10"/>
      <c r="J660" s="12"/>
      <c r="K660" s="11"/>
      <c r="L660" s="11"/>
      <c r="M660" s="11"/>
    </row>
    <row r="661" spans="1:13" x14ac:dyDescent="0.2">
      <c r="A661" s="130">
        <v>81410</v>
      </c>
      <c r="B661" s="23" t="s">
        <v>611</v>
      </c>
      <c r="C661" s="207">
        <v>0</v>
      </c>
      <c r="D661" s="207">
        <v>0</v>
      </c>
      <c r="E661" s="207">
        <v>0</v>
      </c>
      <c r="F661" s="207">
        <v>0</v>
      </c>
      <c r="G661" s="207">
        <v>0</v>
      </c>
      <c r="H661" s="10">
        <f t="shared" si="20"/>
        <v>0</v>
      </c>
      <c r="I661" s="10"/>
      <c r="J661" s="12"/>
      <c r="K661" s="11"/>
      <c r="L661" s="11"/>
      <c r="M661" s="11"/>
    </row>
    <row r="662" spans="1:13" x14ac:dyDescent="0.2">
      <c r="A662" s="130">
        <v>81510</v>
      </c>
      <c r="B662" s="23" t="s">
        <v>612</v>
      </c>
      <c r="C662" s="207">
        <v>0</v>
      </c>
      <c r="D662" s="207">
        <v>0</v>
      </c>
      <c r="E662" s="207">
        <v>0</v>
      </c>
      <c r="F662" s="207">
        <v>0</v>
      </c>
      <c r="G662" s="207">
        <v>0</v>
      </c>
      <c r="H662" s="10">
        <f t="shared" si="20"/>
        <v>0</v>
      </c>
      <c r="I662" s="10"/>
      <c r="J662" s="12"/>
      <c r="K662" s="11"/>
      <c r="L662" s="11"/>
      <c r="M662" s="11"/>
    </row>
    <row r="663" spans="1:13" x14ac:dyDescent="0.2">
      <c r="A663" s="130">
        <v>82110</v>
      </c>
      <c r="B663" s="23" t="s">
        <v>613</v>
      </c>
      <c r="C663" s="207">
        <v>0</v>
      </c>
      <c r="D663" s="207">
        <v>0</v>
      </c>
      <c r="E663" s="207">
        <v>0</v>
      </c>
      <c r="F663" s="207">
        <v>0</v>
      </c>
      <c r="G663" s="207">
        <v>0</v>
      </c>
      <c r="H663" s="10">
        <f t="shared" si="20"/>
        <v>0</v>
      </c>
      <c r="I663" s="10"/>
      <c r="J663" s="12"/>
      <c r="K663" s="11"/>
      <c r="L663" s="11"/>
      <c r="M663" s="11"/>
    </row>
    <row r="664" spans="1:13" x14ac:dyDescent="0.2">
      <c r="A664" s="130">
        <v>82210</v>
      </c>
      <c r="B664" s="23" t="s">
        <v>614</v>
      </c>
      <c r="C664" s="207">
        <v>0</v>
      </c>
      <c r="D664" s="207">
        <v>0</v>
      </c>
      <c r="E664" s="207">
        <v>0</v>
      </c>
      <c r="F664" s="207">
        <v>0</v>
      </c>
      <c r="G664" s="207">
        <v>0</v>
      </c>
      <c r="H664" s="10">
        <f t="shared" si="20"/>
        <v>0</v>
      </c>
      <c r="I664" s="10"/>
      <c r="J664" s="12"/>
      <c r="K664" s="11"/>
      <c r="L664" s="11"/>
      <c r="M664" s="11"/>
    </row>
    <row r="665" spans="1:13" x14ac:dyDescent="0.2">
      <c r="A665" s="130">
        <v>82310</v>
      </c>
      <c r="B665" s="23" t="s">
        <v>615</v>
      </c>
      <c r="C665" s="207">
        <v>0</v>
      </c>
      <c r="D665" s="207">
        <v>0</v>
      </c>
      <c r="E665" s="207">
        <v>0</v>
      </c>
      <c r="F665" s="207">
        <v>0</v>
      </c>
      <c r="G665" s="207">
        <v>0</v>
      </c>
      <c r="H665" s="10">
        <f t="shared" si="20"/>
        <v>0</v>
      </c>
      <c r="I665" s="10"/>
      <c r="J665" s="12"/>
      <c r="K665" s="11"/>
      <c r="L665" s="11"/>
      <c r="M665" s="11"/>
    </row>
    <row r="666" spans="1:13" x14ac:dyDescent="0.2">
      <c r="A666" s="130">
        <v>82410</v>
      </c>
      <c r="B666" s="23" t="s">
        <v>616</v>
      </c>
      <c r="C666" s="207">
        <v>0</v>
      </c>
      <c r="D666" s="207">
        <v>0</v>
      </c>
      <c r="E666" s="207">
        <v>0</v>
      </c>
      <c r="F666" s="207">
        <v>0</v>
      </c>
      <c r="G666" s="207">
        <v>0</v>
      </c>
      <c r="H666" s="10">
        <f t="shared" si="20"/>
        <v>0</v>
      </c>
      <c r="I666" s="10"/>
      <c r="J666" s="12"/>
      <c r="K666" s="11"/>
      <c r="L666" s="11"/>
      <c r="M666" s="11"/>
    </row>
    <row r="667" spans="1:13" x14ac:dyDescent="0.2">
      <c r="A667" s="9">
        <v>82510</v>
      </c>
      <c r="B667" s="1" t="s">
        <v>617</v>
      </c>
      <c r="C667" s="207">
        <v>0</v>
      </c>
      <c r="D667" s="207">
        <v>0</v>
      </c>
      <c r="E667" s="207">
        <v>0</v>
      </c>
      <c r="F667" s="207">
        <v>0</v>
      </c>
      <c r="G667" s="207">
        <v>0</v>
      </c>
      <c r="H667" s="10">
        <f t="shared" si="20"/>
        <v>0</v>
      </c>
      <c r="I667" s="10"/>
      <c r="J667" s="12"/>
      <c r="K667" s="11"/>
      <c r="L667" s="11"/>
      <c r="M667" s="11"/>
    </row>
    <row r="668" spans="1:13" x14ac:dyDescent="0.2">
      <c r="A668" s="9">
        <v>82610</v>
      </c>
      <c r="B668" s="1" t="s">
        <v>618</v>
      </c>
      <c r="C668" s="207">
        <v>0</v>
      </c>
      <c r="D668" s="207">
        <v>0</v>
      </c>
      <c r="E668" s="207">
        <v>0</v>
      </c>
      <c r="F668" s="207">
        <v>0</v>
      </c>
      <c r="G668" s="207">
        <v>0</v>
      </c>
      <c r="H668" s="10">
        <f t="shared" si="20"/>
        <v>0</v>
      </c>
      <c r="I668" s="10"/>
      <c r="J668" s="12"/>
      <c r="K668" s="11"/>
      <c r="L668" s="11"/>
      <c r="M668" s="11"/>
    </row>
    <row r="669" spans="1:13" x14ac:dyDescent="0.2">
      <c r="A669" s="9">
        <v>82710</v>
      </c>
      <c r="B669" s="1" t="s">
        <v>619</v>
      </c>
      <c r="C669" s="207">
        <v>0</v>
      </c>
      <c r="D669" s="207">
        <v>0</v>
      </c>
      <c r="E669" s="207">
        <v>0</v>
      </c>
      <c r="F669" s="207">
        <v>0</v>
      </c>
      <c r="G669" s="207">
        <v>0</v>
      </c>
      <c r="H669" s="10">
        <f t="shared" si="20"/>
        <v>0</v>
      </c>
      <c r="I669" s="10"/>
      <c r="J669" s="12"/>
      <c r="K669" s="11"/>
      <c r="L669" s="11"/>
      <c r="M669" s="11"/>
    </row>
    <row r="670" spans="1:13" x14ac:dyDescent="0.2">
      <c r="A670" s="9">
        <v>91110</v>
      </c>
      <c r="B670" s="1" t="s">
        <v>620</v>
      </c>
      <c r="C670" s="207">
        <v>0</v>
      </c>
      <c r="D670" s="207">
        <v>0</v>
      </c>
      <c r="E670" s="207">
        <v>0</v>
      </c>
      <c r="F670" s="207">
        <v>0</v>
      </c>
      <c r="G670" s="207">
        <v>0</v>
      </c>
      <c r="H670" s="10">
        <f t="shared" si="20"/>
        <v>0</v>
      </c>
      <c r="I670" s="10"/>
      <c r="J670" s="12"/>
      <c r="K670" s="11"/>
      <c r="L670" s="11"/>
      <c r="M670" s="11"/>
    </row>
    <row r="671" spans="1:13" x14ac:dyDescent="0.2">
      <c r="A671" s="9">
        <v>92110</v>
      </c>
      <c r="B671" s="1" t="s">
        <v>621</v>
      </c>
      <c r="C671" s="207">
        <v>0</v>
      </c>
      <c r="D671" s="207">
        <v>0</v>
      </c>
      <c r="E671" s="207">
        <v>0</v>
      </c>
      <c r="F671" s="207">
        <v>0</v>
      </c>
      <c r="G671" s="207">
        <v>0</v>
      </c>
      <c r="H671" s="10">
        <f t="shared" si="20"/>
        <v>0</v>
      </c>
      <c r="I671" s="10"/>
      <c r="J671" s="12"/>
      <c r="K671" s="11"/>
      <c r="L671" s="11"/>
      <c r="M671" s="11"/>
    </row>
    <row r="672" spans="1:13" x14ac:dyDescent="0.2">
      <c r="A672" s="16">
        <v>93110</v>
      </c>
      <c r="B672" s="17" t="s">
        <v>622</v>
      </c>
      <c r="C672" s="217">
        <v>0</v>
      </c>
      <c r="D672" s="217">
        <v>0</v>
      </c>
      <c r="E672" s="217">
        <v>0</v>
      </c>
      <c r="F672" s="217">
        <v>0</v>
      </c>
      <c r="G672" s="217">
        <v>0</v>
      </c>
      <c r="H672" s="18">
        <f t="shared" si="20"/>
        <v>0</v>
      </c>
      <c r="I672" s="19"/>
      <c r="J672" s="12"/>
      <c r="K672" s="11"/>
      <c r="L672" s="11"/>
      <c r="M672" s="11"/>
    </row>
    <row r="673" spans="3:12" x14ac:dyDescent="0.2">
      <c r="C673" s="218">
        <v>0</v>
      </c>
      <c r="D673" s="218">
        <f t="shared" ref="D673:H673" si="21">ROUND(SUM(D11:D672),2)</f>
        <v>0</v>
      </c>
      <c r="E673" s="218">
        <f t="shared" si="21"/>
        <v>0</v>
      </c>
      <c r="F673" s="218">
        <f t="shared" si="21"/>
        <v>65544015019.190002</v>
      </c>
      <c r="G673" s="218">
        <f t="shared" si="21"/>
        <v>65544015019.190002</v>
      </c>
      <c r="H673" s="20">
        <f t="shared" si="21"/>
        <v>0</v>
      </c>
      <c r="I673" s="20"/>
      <c r="L673" s="14"/>
    </row>
    <row r="675" spans="3:12" x14ac:dyDescent="0.2">
      <c r="C675" s="21" t="str">
        <f>IF(C673=0," ","ERROR EN LA SUMATORIA DEL SALDO INICIAL DEL 2014")</f>
        <v xml:space="preserve"> </v>
      </c>
      <c r="D675" s="21"/>
    </row>
    <row r="676" spans="3:12" x14ac:dyDescent="0.2">
      <c r="E676" s="21" t="str">
        <f>IF(E673=0," ","ERROR EN LA SUMATORIA DEL SALDO INICIAL DEL 2015")</f>
        <v xml:space="preserve"> </v>
      </c>
    </row>
    <row r="677" spans="3:12" x14ac:dyDescent="0.2">
      <c r="F677" s="21" t="str">
        <f>IF(F673=G673," ","ERROR EN LA SUMATORIA EN LOS CARGOS Y ABONOS DEL Ejercicio 2016 POR "&amp;F673-G673)</f>
        <v xml:space="preserve"> </v>
      </c>
    </row>
  </sheetData>
  <sheetProtection selectLockedCells="1"/>
  <mergeCells count="6">
    <mergeCell ref="B2:H2"/>
    <mergeCell ref="B8:H8"/>
    <mergeCell ref="B3:H3"/>
    <mergeCell ref="B4:H4"/>
    <mergeCell ref="B5:H5"/>
    <mergeCell ref="B6:H6"/>
  </mergeCells>
  <pageMargins left="0.70866141732283472" right="0.70866141732283472" top="0.74803149606299213" bottom="0.74803149606299213" header="0.31496062992125984" footer="0.31496062992125984"/>
  <pageSetup scale="47" fitToHeight="6" orientation="portrait" r:id="rId1"/>
  <headerFooter>
    <oddFooter>&amp;LRendición de la Cuenta Pública 2014&amp;C&amp;A&amp;RPágina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M65"/>
  <sheetViews>
    <sheetView showGridLines="0" view="pageBreakPreview" zoomScaleNormal="130" zoomScaleSheetLayoutView="100" workbookViewId="0">
      <selection activeCell="H36" sqref="H36:I36"/>
    </sheetView>
  </sheetViews>
  <sheetFormatPr baseColWidth="10" defaultRowHeight="12" x14ac:dyDescent="0.2"/>
  <cols>
    <col min="1" max="1" width="1.7109375" style="23" customWidth="1"/>
    <col min="2" max="2" width="4.28515625" style="23" customWidth="1"/>
    <col min="3" max="3" width="24.28515625" style="23" customWidth="1"/>
    <col min="4" max="4" width="23.7109375" style="23" customWidth="1"/>
    <col min="5" max="5" width="23" style="23" customWidth="1"/>
    <col min="6" max="6" width="22.28515625" style="23" customWidth="1"/>
    <col min="7" max="7" width="3.7109375" style="23" customWidth="1"/>
    <col min="8" max="8" width="27.140625" style="40" customWidth="1"/>
    <col min="9" max="9" width="31.7109375" style="40" customWidth="1"/>
    <col min="10" max="10" width="28.28515625" style="23" customWidth="1"/>
    <col min="11" max="11" width="23.5703125" style="23" customWidth="1"/>
    <col min="12" max="12" width="4.28515625" style="23" customWidth="1"/>
    <col min="13" max="13" width="1.7109375" style="23" customWidth="1"/>
    <col min="14" max="16384" width="11.42578125" style="23"/>
  </cols>
  <sheetData>
    <row r="2" spans="2:13" s="22" customFormat="1" ht="12" hidden="1" customHeight="1" x14ac:dyDescent="0.2">
      <c r="B2" s="206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206"/>
    </row>
    <row r="3" spans="2:13" ht="12" customHeight="1" x14ac:dyDescent="0.2">
      <c r="C3" s="475" t="s">
        <v>623</v>
      </c>
      <c r="D3" s="475"/>
      <c r="E3" s="475"/>
      <c r="F3" s="475"/>
      <c r="G3" s="475"/>
      <c r="H3" s="475"/>
      <c r="I3" s="475"/>
      <c r="J3" s="475"/>
      <c r="K3" s="475"/>
      <c r="L3" s="475"/>
    </row>
    <row r="4" spans="2:13" ht="12" customHeight="1" x14ac:dyDescent="0.2">
      <c r="C4" s="475" t="str">
        <f>"Del 1 de enero al "&amp;TEXT(INDEX(Periodos,ENTE!D18,1),"dd")&amp;" de "&amp;TEXT(INDEX(Periodos,ENTE!D18,1),"mmmm")&amp;" de "&amp;TEXT(INDEX(Periodos,ENTE!D18,1),"aaaa")&amp;" y 2017"</f>
        <v>Del 1 de enero al 31 de diciembre de 2018 y 2017</v>
      </c>
      <c r="D4" s="475"/>
      <c r="E4" s="475"/>
      <c r="F4" s="475"/>
      <c r="G4" s="475"/>
      <c r="H4" s="475"/>
      <c r="I4" s="475"/>
      <c r="J4" s="475"/>
      <c r="K4" s="475"/>
      <c r="L4" s="475"/>
    </row>
    <row r="5" spans="2:13" ht="12" customHeight="1" x14ac:dyDescent="0.2">
      <c r="C5" s="475" t="s">
        <v>624</v>
      </c>
      <c r="D5" s="475"/>
      <c r="E5" s="475"/>
      <c r="F5" s="475"/>
      <c r="G5" s="475"/>
      <c r="H5" s="475"/>
      <c r="I5" s="475"/>
      <c r="J5" s="475"/>
      <c r="K5" s="475"/>
      <c r="L5" s="475"/>
    </row>
    <row r="6" spans="2:13" ht="12" customHeight="1" x14ac:dyDescent="0.2">
      <c r="C6" s="314"/>
      <c r="D6" s="314"/>
      <c r="E6" s="314"/>
      <c r="F6" s="314"/>
      <c r="G6" s="314"/>
      <c r="H6" s="314"/>
      <c r="I6" s="314"/>
      <c r="J6" s="314"/>
      <c r="K6" s="314"/>
      <c r="L6" s="314"/>
    </row>
    <row r="7" spans="2:13" x14ac:dyDescent="0.2">
      <c r="B7" s="314"/>
      <c r="C7" s="325" t="s">
        <v>6</v>
      </c>
      <c r="D7" s="477" t="str">
        <f>ENTE!D8</f>
        <v>UNIDAD DE SERVICIOS PARA LA EDUCACIÓN BÁSICA EN EL ESTADO DE QUERÉTARO</v>
      </c>
      <c r="E7" s="477"/>
      <c r="F7" s="477"/>
      <c r="G7" s="477"/>
      <c r="H7" s="477"/>
      <c r="I7" s="477"/>
      <c r="J7" s="477"/>
      <c r="K7" s="116"/>
      <c r="L7" s="116"/>
    </row>
    <row r="8" spans="2:13" s="22" customFormat="1" ht="3" customHeight="1" x14ac:dyDescent="0.2">
      <c r="B8" s="314"/>
      <c r="C8" s="27"/>
      <c r="D8" s="27"/>
      <c r="E8" s="27"/>
      <c r="F8" s="27"/>
      <c r="G8" s="332"/>
      <c r="H8" s="28"/>
      <c r="I8" s="28"/>
    </row>
    <row r="9" spans="2:13" s="22" customFormat="1" ht="3" customHeight="1" x14ac:dyDescent="0.2">
      <c r="B9" s="29"/>
      <c r="C9" s="29"/>
      <c r="D9" s="29"/>
      <c r="E9" s="30"/>
      <c r="F9" s="30"/>
      <c r="G9" s="331"/>
      <c r="H9" s="28"/>
      <c r="I9" s="28"/>
    </row>
    <row r="10" spans="2:13" s="31" customFormat="1" ht="20.100000000000001" customHeight="1" x14ac:dyDescent="0.2">
      <c r="B10" s="167"/>
      <c r="C10" s="476" t="s">
        <v>625</v>
      </c>
      <c r="D10" s="476"/>
      <c r="E10" s="168">
        <v>2018</v>
      </c>
      <c r="F10" s="168">
        <v>2017</v>
      </c>
      <c r="G10" s="315"/>
      <c r="H10" s="476" t="s">
        <v>625</v>
      </c>
      <c r="I10" s="476"/>
      <c r="J10" s="168">
        <v>2018</v>
      </c>
      <c r="K10" s="168">
        <v>2017</v>
      </c>
      <c r="L10" s="169"/>
    </row>
    <row r="11" spans="2:13" s="22" customFormat="1" ht="3" customHeight="1" x14ac:dyDescent="0.2">
      <c r="B11" s="32"/>
      <c r="C11" s="33"/>
      <c r="D11" s="33"/>
      <c r="E11" s="34"/>
      <c r="F11" s="34"/>
      <c r="G11" s="28"/>
      <c r="H11" s="28"/>
      <c r="I11" s="28"/>
      <c r="L11" s="35"/>
    </row>
    <row r="12" spans="2:13" s="40" customFormat="1" x14ac:dyDescent="0.2">
      <c r="B12" s="36"/>
      <c r="C12" s="473" t="s">
        <v>626</v>
      </c>
      <c r="D12" s="473"/>
      <c r="E12" s="37"/>
      <c r="F12" s="37"/>
      <c r="G12" s="38"/>
      <c r="H12" s="473" t="s">
        <v>627</v>
      </c>
      <c r="I12" s="473"/>
      <c r="J12" s="37"/>
      <c r="K12" s="37"/>
      <c r="L12" s="39"/>
    </row>
    <row r="13" spans="2:13" x14ac:dyDescent="0.2">
      <c r="B13" s="41"/>
      <c r="C13" s="463" t="s">
        <v>628</v>
      </c>
      <c r="D13" s="463"/>
      <c r="E13" s="42">
        <f>SUM(E14:E21)</f>
        <v>780473.53</v>
      </c>
      <c r="F13" s="42">
        <f>SUM(F14:F21)</f>
        <v>444551.46</v>
      </c>
      <c r="G13" s="38"/>
      <c r="H13" s="473" t="s">
        <v>1022</v>
      </c>
      <c r="I13" s="473"/>
      <c r="J13" s="42">
        <f>SUM(J14:J16)</f>
        <v>7506918944.3800001</v>
      </c>
      <c r="K13" s="42">
        <f>SUM(K14:K16)</f>
        <v>7189490221.2800007</v>
      </c>
      <c r="L13" s="43"/>
    </row>
    <row r="14" spans="2:13" x14ac:dyDescent="0.2">
      <c r="B14" s="44"/>
      <c r="C14" s="464" t="s">
        <v>630</v>
      </c>
      <c r="D14" s="464"/>
      <c r="E14" s="45">
        <f>-SUM('BALANZA COMPROBACION'!H419:H426)</f>
        <v>0</v>
      </c>
      <c r="F14" s="45">
        <f>-SUM('BALANZA COMPROBACION'!D419:D426)</f>
        <v>0</v>
      </c>
      <c r="G14" s="38"/>
      <c r="H14" s="464" t="s">
        <v>631</v>
      </c>
      <c r="I14" s="464"/>
      <c r="J14" s="45">
        <f>SUM('BALANZA COMPROBACION'!H482:H487)</f>
        <v>6810443752.1000004</v>
      </c>
      <c r="K14" s="45">
        <f>SUM('BALANZA COMPROBACION'!D482:D487)</f>
        <v>6648309904.5300007</v>
      </c>
      <c r="L14" s="43"/>
    </row>
    <row r="15" spans="2:13" x14ac:dyDescent="0.2">
      <c r="B15" s="44"/>
      <c r="C15" s="464" t="s">
        <v>632</v>
      </c>
      <c r="D15" s="464"/>
      <c r="E15" s="45">
        <f>-SUM('BALANZA COMPROBACION'!H427:H431)</f>
        <v>0</v>
      </c>
      <c r="F15" s="45">
        <f>-SUM('BALANZA COMPROBACION'!D427:D431)</f>
        <v>0</v>
      </c>
      <c r="G15" s="38"/>
      <c r="H15" s="464" t="s">
        <v>633</v>
      </c>
      <c r="I15" s="464"/>
      <c r="J15" s="45">
        <f>SUM('BALANZA COMPROBACION'!H488:H496)</f>
        <v>313875577.79000002</v>
      </c>
      <c r="K15" s="45">
        <f>SUM('BALANZA COMPROBACION'!D488:D496)</f>
        <v>174267307.01000002</v>
      </c>
      <c r="L15" s="43"/>
    </row>
    <row r="16" spans="2:13" ht="12" customHeight="1" x14ac:dyDescent="0.2">
      <c r="B16" s="44"/>
      <c r="C16" s="464" t="s">
        <v>634</v>
      </c>
      <c r="D16" s="464"/>
      <c r="E16" s="45">
        <f>-'BALANZA COMPROBACION'!H432</f>
        <v>0</v>
      </c>
      <c r="F16" s="45">
        <f>-'BALANZA COMPROBACION'!D432</f>
        <v>0</v>
      </c>
      <c r="G16" s="38"/>
      <c r="H16" s="464" t="s">
        <v>635</v>
      </c>
      <c r="I16" s="464"/>
      <c r="J16" s="45">
        <f>SUM('BALANZA COMPROBACION'!H497:H505)</f>
        <v>382599614.49000001</v>
      </c>
      <c r="K16" s="45">
        <f>SUM('BALANZA COMPROBACION'!D497:D505)</f>
        <v>366913009.74000001</v>
      </c>
      <c r="L16" s="43"/>
    </row>
    <row r="17" spans="2:12" x14ac:dyDescent="0.2">
      <c r="B17" s="44"/>
      <c r="C17" s="464" t="s">
        <v>636</v>
      </c>
      <c r="D17" s="464"/>
      <c r="E17" s="45">
        <f>-SUM('BALANZA COMPROBACION'!H433:H437)</f>
        <v>0</v>
      </c>
      <c r="F17" s="45">
        <f>-SUM('BALANZA COMPROBACION'!D433:D437)</f>
        <v>0</v>
      </c>
      <c r="G17" s="38"/>
      <c r="H17" s="313"/>
      <c r="I17" s="47"/>
      <c r="J17" s="48"/>
      <c r="K17" s="48"/>
      <c r="L17" s="43"/>
    </row>
    <row r="18" spans="2:12" x14ac:dyDescent="0.2">
      <c r="B18" s="44"/>
      <c r="C18" s="464" t="s">
        <v>637</v>
      </c>
      <c r="D18" s="464"/>
      <c r="E18" s="45">
        <f>-SUM('BALANZA COMPROBACION'!H438:H441)</f>
        <v>0</v>
      </c>
      <c r="F18" s="45">
        <f>-SUM('BALANZA COMPROBACION'!D438:D441)</f>
        <v>0</v>
      </c>
      <c r="G18" s="38"/>
      <c r="H18" s="473" t="s">
        <v>638</v>
      </c>
      <c r="I18" s="473"/>
      <c r="J18" s="42">
        <f>SUM(J19:J27)</f>
        <v>176579271.5</v>
      </c>
      <c r="K18" s="42">
        <f>SUM(K19:K27)</f>
        <v>142161845.81999999</v>
      </c>
      <c r="L18" s="43"/>
    </row>
    <row r="19" spans="2:12" x14ac:dyDescent="0.2">
      <c r="B19" s="44"/>
      <c r="C19" s="464" t="s">
        <v>639</v>
      </c>
      <c r="D19" s="464"/>
      <c r="E19" s="45">
        <f>-SUM('BALANZA COMPROBACION'!H442:H450)</f>
        <v>0</v>
      </c>
      <c r="F19" s="45">
        <f>-SUM('BALANZA COMPROBACION'!D442:D450)</f>
        <v>0</v>
      </c>
      <c r="G19" s="38"/>
      <c r="H19" s="464" t="s">
        <v>640</v>
      </c>
      <c r="I19" s="464"/>
      <c r="J19" s="45">
        <f>SUM('BALANZA COMPROBACION'!H506:H507)</f>
        <v>0</v>
      </c>
      <c r="K19" s="45">
        <f>SUM('BALANZA COMPROBACION'!D506:D507)</f>
        <v>1407867</v>
      </c>
      <c r="L19" s="43"/>
    </row>
    <row r="20" spans="2:12" x14ac:dyDescent="0.2">
      <c r="B20" s="44"/>
      <c r="C20" s="464" t="s">
        <v>641</v>
      </c>
      <c r="D20" s="464"/>
      <c r="E20" s="45">
        <f>-SUM('BALANZA COMPROBACION'!H451:H454)</f>
        <v>780473.53</v>
      </c>
      <c r="F20" s="45">
        <f>-SUM('BALANZA COMPROBACION'!D451:D454)</f>
        <v>444551.46</v>
      </c>
      <c r="G20" s="38"/>
      <c r="H20" s="464" t="s">
        <v>642</v>
      </c>
      <c r="I20" s="464"/>
      <c r="J20" s="45">
        <f>SUM('BALANZA COMPROBACION'!H508:H509)</f>
        <v>0</v>
      </c>
      <c r="K20" s="45">
        <f>SUM('BALANZA COMPROBACION'!D508:D509)</f>
        <v>0</v>
      </c>
      <c r="L20" s="43"/>
    </row>
    <row r="21" spans="2:12" ht="52.5" customHeight="1" x14ac:dyDescent="0.2">
      <c r="B21" s="44"/>
      <c r="C21" s="465" t="s">
        <v>643</v>
      </c>
      <c r="D21" s="465"/>
      <c r="E21" s="45">
        <f>-SUM('BALANZA COMPROBACION'!H455:H456)</f>
        <v>0</v>
      </c>
      <c r="F21" s="45">
        <f>-SUM('BALANZA COMPROBACION'!D455:D456)</f>
        <v>0</v>
      </c>
      <c r="G21" s="38"/>
      <c r="H21" s="464" t="s">
        <v>644</v>
      </c>
      <c r="I21" s="464"/>
      <c r="J21" s="45">
        <f>SUM('BALANZA COMPROBACION'!H510:H511)</f>
        <v>0</v>
      </c>
      <c r="K21" s="45">
        <f>SUM('BALANZA COMPROBACION'!D510:D511)</f>
        <v>0</v>
      </c>
      <c r="L21" s="43"/>
    </row>
    <row r="22" spans="2:12" x14ac:dyDescent="0.2">
      <c r="B22" s="41"/>
      <c r="C22" s="313"/>
      <c r="D22" s="47"/>
      <c r="E22" s="48"/>
      <c r="F22" s="48"/>
      <c r="G22" s="38"/>
      <c r="H22" s="464" t="s">
        <v>645</v>
      </c>
      <c r="I22" s="464"/>
      <c r="J22" s="45">
        <f>SUM('BALANZA COMPROBACION'!H512:H515)</f>
        <v>106231346.73</v>
      </c>
      <c r="K22" s="45">
        <f>SUM('BALANZA COMPROBACION'!D512:D515)</f>
        <v>79276043.329999998</v>
      </c>
      <c r="L22" s="43"/>
    </row>
    <row r="23" spans="2:12" ht="36.75" customHeight="1" x14ac:dyDescent="0.2">
      <c r="B23" s="41"/>
      <c r="C23" s="463" t="s">
        <v>646</v>
      </c>
      <c r="D23" s="463"/>
      <c r="E23" s="42">
        <f>SUM(E24:E25)</f>
        <v>7724826820.8299999</v>
      </c>
      <c r="F23" s="42">
        <f>SUM(F24:F25)</f>
        <v>7346940160.7399998</v>
      </c>
      <c r="G23" s="38"/>
      <c r="H23" s="464" t="s">
        <v>647</v>
      </c>
      <c r="I23" s="464"/>
      <c r="J23" s="45">
        <f>SUM('BALANZA COMPROBACION'!H516:H518)</f>
        <v>70347924.769999996</v>
      </c>
      <c r="K23" s="45">
        <f>SUM('BALANZA COMPROBACION'!D516:D518)</f>
        <v>61477935.490000002</v>
      </c>
      <c r="L23" s="43"/>
    </row>
    <row r="24" spans="2:12" x14ac:dyDescent="0.2">
      <c r="B24" s="44"/>
      <c r="C24" s="464" t="s">
        <v>648</v>
      </c>
      <c r="D24" s="464"/>
      <c r="E24" s="37">
        <f>-SUM('BALANZA COMPROBACION'!H457:H460)</f>
        <v>7202611100.1899996</v>
      </c>
      <c r="F24" s="37">
        <f>-SUM('BALANZA COMPROBACION'!D457:D460)</f>
        <v>6612613190.5900002</v>
      </c>
      <c r="G24" s="38"/>
      <c r="H24" s="464" t="s">
        <v>649</v>
      </c>
      <c r="I24" s="464"/>
      <c r="J24" s="45">
        <f>SUM('BALANZA COMPROBACION'!H519:H520)</f>
        <v>0</v>
      </c>
      <c r="K24" s="45">
        <f>SUM('BALANZA COMPROBACION'!D519:D520)</f>
        <v>0</v>
      </c>
      <c r="L24" s="43"/>
    </row>
    <row r="25" spans="2:12" x14ac:dyDescent="0.2">
      <c r="B25" s="44"/>
      <c r="C25" s="464" t="s">
        <v>638</v>
      </c>
      <c r="D25" s="464"/>
      <c r="E25" s="45">
        <f>-SUM('BALANZA COMPROBACION'!H461:H465)</f>
        <v>522215720.63999999</v>
      </c>
      <c r="F25" s="45">
        <f>-SUM('BALANZA COMPROBACION'!D461:D465)</f>
        <v>734326970.14999998</v>
      </c>
      <c r="G25" s="38"/>
      <c r="H25" s="464" t="s">
        <v>651</v>
      </c>
      <c r="I25" s="464"/>
      <c r="J25" s="45">
        <f>SUM('BALANZA COMPROBACION'!H521)</f>
        <v>0</v>
      </c>
      <c r="K25" s="45">
        <f>SUM('BALANZA COMPROBACION'!D521)</f>
        <v>0</v>
      </c>
      <c r="L25" s="43"/>
    </row>
    <row r="26" spans="2:12" x14ac:dyDescent="0.2">
      <c r="B26" s="41"/>
      <c r="C26" s="313"/>
      <c r="D26" s="47"/>
      <c r="E26" s="48"/>
      <c r="F26" s="48"/>
      <c r="G26" s="38"/>
      <c r="H26" s="464" t="s">
        <v>652</v>
      </c>
      <c r="I26" s="464"/>
      <c r="J26" s="45">
        <f>SUM('BALANZA COMPROBACION'!H522:H526)</f>
        <v>0</v>
      </c>
      <c r="K26" s="45">
        <f>SUM('BALANZA COMPROBACION'!D522:D526)</f>
        <v>0</v>
      </c>
      <c r="L26" s="43"/>
    </row>
    <row r="27" spans="2:12" x14ac:dyDescent="0.2">
      <c r="B27" s="44"/>
      <c r="C27" s="463" t="s">
        <v>653</v>
      </c>
      <c r="D27" s="463"/>
      <c r="E27" s="42">
        <f>SUM(E28:E32)</f>
        <v>1474073.8</v>
      </c>
      <c r="F27" s="42">
        <f>SUM(F28:F32)</f>
        <v>2561806</v>
      </c>
      <c r="G27" s="38"/>
      <c r="H27" s="464" t="s">
        <v>654</v>
      </c>
      <c r="I27" s="464"/>
      <c r="J27" s="45">
        <f>SUM('BALANZA COMPROBACION'!H527:H528)</f>
        <v>0</v>
      </c>
      <c r="K27" s="45">
        <f>SUM('BALANZA COMPROBACION'!D527:D528)</f>
        <v>0</v>
      </c>
      <c r="L27" s="43"/>
    </row>
    <row r="28" spans="2:12" x14ac:dyDescent="0.2">
      <c r="B28" s="44"/>
      <c r="C28" s="464" t="s">
        <v>655</v>
      </c>
      <c r="D28" s="464"/>
      <c r="E28" s="45">
        <f>-SUM('BALANZA COMPROBACION'!H466:H467)</f>
        <v>0</v>
      </c>
      <c r="F28" s="45">
        <f>-SUM('BALANZA COMPROBACION'!D466:D467)</f>
        <v>0</v>
      </c>
      <c r="G28" s="38"/>
      <c r="H28" s="313"/>
      <c r="I28" s="47"/>
      <c r="J28" s="48"/>
      <c r="K28" s="48"/>
      <c r="L28" s="43"/>
    </row>
    <row r="29" spans="2:12" x14ac:dyDescent="0.2">
      <c r="B29" s="44"/>
      <c r="C29" s="464" t="s">
        <v>656</v>
      </c>
      <c r="D29" s="464"/>
      <c r="E29" s="45">
        <f>-SUM('BALANZA COMPROBACION'!H468:H472)</f>
        <v>0</v>
      </c>
      <c r="F29" s="45">
        <f>-SUM('BALANZA COMPROBACION'!D468:D472)</f>
        <v>0</v>
      </c>
      <c r="G29" s="38"/>
      <c r="H29" s="463" t="s">
        <v>648</v>
      </c>
      <c r="I29" s="463"/>
      <c r="J29" s="42">
        <f>SUM(J30:J32)</f>
        <v>0</v>
      </c>
      <c r="K29" s="42">
        <f>SUM(K30:K32)</f>
        <v>0</v>
      </c>
      <c r="L29" s="43"/>
    </row>
    <row r="30" spans="2:12" ht="26.25" customHeight="1" x14ac:dyDescent="0.2">
      <c r="B30" s="44"/>
      <c r="C30" s="465" t="s">
        <v>657</v>
      </c>
      <c r="D30" s="465"/>
      <c r="E30" s="45">
        <f>-SUM('BALANZA COMPROBACION'!H473)</f>
        <v>0</v>
      </c>
      <c r="F30" s="45">
        <f>-SUM('BALANZA COMPROBACION'!D473)</f>
        <v>0</v>
      </c>
      <c r="G30" s="38"/>
      <c r="H30" s="464" t="s">
        <v>658</v>
      </c>
      <c r="I30" s="464"/>
      <c r="J30" s="45">
        <f>SUM('BALANZA COMPROBACION'!H529:H530)</f>
        <v>0</v>
      </c>
      <c r="K30" s="45">
        <f>SUM('BALANZA COMPROBACION'!D529:D530)</f>
        <v>0</v>
      </c>
      <c r="L30" s="43"/>
    </row>
    <row r="31" spans="2:12" x14ac:dyDescent="0.2">
      <c r="B31" s="44"/>
      <c r="C31" s="464" t="s">
        <v>659</v>
      </c>
      <c r="D31" s="464"/>
      <c r="E31" s="45">
        <f>-SUM('BALANZA COMPROBACION'!H474)</f>
        <v>0</v>
      </c>
      <c r="F31" s="45">
        <f>-SUM('BALANZA COMPROBACION'!D474)</f>
        <v>0</v>
      </c>
      <c r="G31" s="38"/>
      <c r="H31" s="464" t="s">
        <v>660</v>
      </c>
      <c r="I31" s="464"/>
      <c r="J31" s="45">
        <f>SUM('BALANZA COMPROBACION'!H531:H532)</f>
        <v>0</v>
      </c>
      <c r="K31" s="45">
        <f>SUM('BALANZA COMPROBACION'!D531:D532)</f>
        <v>0</v>
      </c>
      <c r="L31" s="43"/>
    </row>
    <row r="32" spans="2:12" x14ac:dyDescent="0.2">
      <c r="B32" s="44"/>
      <c r="C32" s="464" t="s">
        <v>661</v>
      </c>
      <c r="D32" s="464"/>
      <c r="E32" s="45">
        <f>-SUM('BALANZA COMPROBACION'!H475:H481)</f>
        <v>1474073.8</v>
      </c>
      <c r="F32" s="45">
        <f>-SUM('BALANZA COMPROBACION'!D475:D481)</f>
        <v>2561806</v>
      </c>
      <c r="G32" s="38"/>
      <c r="H32" s="464" t="s">
        <v>662</v>
      </c>
      <c r="I32" s="464"/>
      <c r="J32" s="45">
        <f>SUM('BALANZA COMPROBACION'!H533:H534)</f>
        <v>0</v>
      </c>
      <c r="K32" s="45">
        <f>SUM('BALANZA COMPROBACION'!D533:D534)</f>
        <v>0</v>
      </c>
      <c r="L32" s="43"/>
    </row>
    <row r="33" spans="2:12" x14ac:dyDescent="0.2">
      <c r="B33" s="41"/>
      <c r="C33" s="313"/>
      <c r="D33" s="49"/>
      <c r="E33" s="37"/>
      <c r="F33" s="37"/>
      <c r="G33" s="38"/>
      <c r="H33" s="313"/>
      <c r="I33" s="47"/>
      <c r="J33" s="48"/>
      <c r="K33" s="48"/>
      <c r="L33" s="43"/>
    </row>
    <row r="34" spans="2:12" x14ac:dyDescent="0.2">
      <c r="B34" s="50"/>
      <c r="C34" s="468" t="s">
        <v>663</v>
      </c>
      <c r="D34" s="468"/>
      <c r="E34" s="51">
        <f>E13+E23+E27</f>
        <v>7727081368.1599998</v>
      </c>
      <c r="F34" s="51">
        <f>F13+F23+F27</f>
        <v>7349946518.1999998</v>
      </c>
      <c r="G34" s="52"/>
      <c r="H34" s="473" t="s">
        <v>664</v>
      </c>
      <c r="I34" s="473"/>
      <c r="J34" s="53">
        <f>SUM(J35:J39)</f>
        <v>0</v>
      </c>
      <c r="K34" s="53">
        <f>SUM(K35:K39)</f>
        <v>0</v>
      </c>
      <c r="L34" s="43"/>
    </row>
    <row r="35" spans="2:12" x14ac:dyDescent="0.2">
      <c r="B35" s="41"/>
      <c r="C35" s="468"/>
      <c r="D35" s="468"/>
      <c r="E35" s="37"/>
      <c r="F35" s="37"/>
      <c r="G35" s="38"/>
      <c r="H35" s="464" t="s">
        <v>665</v>
      </c>
      <c r="I35" s="464"/>
      <c r="J35" s="45">
        <f>SUM('BALANZA COMPROBACION'!H535:H536)</f>
        <v>0</v>
      </c>
      <c r="K35" s="45">
        <f>SUM('BALANZA COMPROBACION'!D535:D536)</f>
        <v>0</v>
      </c>
      <c r="L35" s="43"/>
    </row>
    <row r="36" spans="2:12" x14ac:dyDescent="0.2">
      <c r="B36" s="54"/>
      <c r="C36" s="38"/>
      <c r="D36" s="38"/>
      <c r="E36" s="38"/>
      <c r="F36" s="38"/>
      <c r="G36" s="38"/>
      <c r="H36" s="464" t="s">
        <v>666</v>
      </c>
      <c r="I36" s="464"/>
      <c r="J36" s="45">
        <f>SUM('BALANZA COMPROBACION'!H537:H538)</f>
        <v>0</v>
      </c>
      <c r="K36" s="45">
        <f>SUM('BALANZA COMPROBACION'!D537:D538)</f>
        <v>0</v>
      </c>
      <c r="L36" s="43"/>
    </row>
    <row r="37" spans="2:12" x14ac:dyDescent="0.2">
      <c r="B37" s="54"/>
      <c r="C37" s="38"/>
      <c r="D37" s="38"/>
      <c r="E37" s="38"/>
      <c r="F37" s="38"/>
      <c r="G37" s="38"/>
      <c r="H37" s="464" t="s">
        <v>667</v>
      </c>
      <c r="I37" s="464"/>
      <c r="J37" s="45">
        <f>SUM('BALANZA COMPROBACION'!H539:H540)</f>
        <v>0</v>
      </c>
      <c r="K37" s="45">
        <f>SUM('BALANZA COMPROBACION'!D539:D540)</f>
        <v>0</v>
      </c>
      <c r="L37" s="43"/>
    </row>
    <row r="38" spans="2:12" x14ac:dyDescent="0.2">
      <c r="B38" s="54"/>
      <c r="C38" s="38"/>
      <c r="D38" s="38"/>
      <c r="E38" s="38"/>
      <c r="F38" s="38"/>
      <c r="G38" s="38"/>
      <c r="H38" s="464" t="s">
        <v>668</v>
      </c>
      <c r="I38" s="464"/>
      <c r="J38" s="45">
        <f>SUM('BALANZA COMPROBACION'!H541)</f>
        <v>0</v>
      </c>
      <c r="K38" s="45">
        <f>SUM('BALANZA COMPROBACION'!D541)</f>
        <v>0</v>
      </c>
      <c r="L38" s="43"/>
    </row>
    <row r="39" spans="2:12" x14ac:dyDescent="0.2">
      <c r="B39" s="54"/>
      <c r="C39" s="38"/>
      <c r="D39" s="38"/>
      <c r="E39" s="38"/>
      <c r="F39" s="38"/>
      <c r="G39" s="38"/>
      <c r="H39" s="464" t="s">
        <v>669</v>
      </c>
      <c r="I39" s="464"/>
      <c r="J39" s="45">
        <f>SUM('BALANZA COMPROBACION'!H542:H543)</f>
        <v>0</v>
      </c>
      <c r="K39" s="45">
        <f>SUM('BALANZA COMPROBACION'!D542:D543)</f>
        <v>0</v>
      </c>
      <c r="L39" s="43"/>
    </row>
    <row r="40" spans="2:12" x14ac:dyDescent="0.2">
      <c r="B40" s="54"/>
      <c r="C40" s="38"/>
      <c r="D40" s="38"/>
      <c r="E40" s="38"/>
      <c r="F40" s="38"/>
      <c r="G40" s="38"/>
      <c r="H40" s="313"/>
      <c r="I40" s="47"/>
      <c r="J40" s="48"/>
      <c r="K40" s="48"/>
      <c r="L40" s="43"/>
    </row>
    <row r="41" spans="2:12" x14ac:dyDescent="0.2">
      <c r="B41" s="54"/>
      <c r="C41" s="38"/>
      <c r="D41" s="38"/>
      <c r="E41" s="38"/>
      <c r="F41" s="38"/>
      <c r="G41" s="38"/>
      <c r="H41" s="463" t="s">
        <v>670</v>
      </c>
      <c r="I41" s="463"/>
      <c r="J41" s="53">
        <f>SUM(J42:J47)</f>
        <v>85716362.400000006</v>
      </c>
      <c r="K41" s="53">
        <f>SUM(K42:K47)</f>
        <v>102799381.95</v>
      </c>
      <c r="L41" s="43"/>
    </row>
    <row r="42" spans="2:12" ht="26.25" customHeight="1" x14ac:dyDescent="0.2">
      <c r="B42" s="54"/>
      <c r="C42" s="38"/>
      <c r="D42" s="38"/>
      <c r="E42" s="38"/>
      <c r="F42" s="38"/>
      <c r="G42" s="38"/>
      <c r="H42" s="465" t="s">
        <v>671</v>
      </c>
      <c r="I42" s="465"/>
      <c r="J42" s="45">
        <f>SUM('BALANZA COMPROBACION'!H544:H588)</f>
        <v>85716362.400000006</v>
      </c>
      <c r="K42" s="45">
        <f>SUM('BALANZA COMPROBACION'!D544:D588)</f>
        <v>102799381.95</v>
      </c>
      <c r="L42" s="43"/>
    </row>
    <row r="43" spans="2:12" x14ac:dyDescent="0.2">
      <c r="B43" s="54"/>
      <c r="C43" s="38"/>
      <c r="D43" s="38"/>
      <c r="E43" s="38"/>
      <c r="F43" s="38"/>
      <c r="G43" s="38"/>
      <c r="H43" s="464" t="s">
        <v>672</v>
      </c>
      <c r="I43" s="464"/>
      <c r="J43" s="45">
        <f>SUM('BALANZA COMPROBACION'!H589:H591)+SUM('BALANZA COMPROBACION'!H592:H595)</f>
        <v>0</v>
      </c>
      <c r="K43" s="45">
        <f>SUM('BALANZA COMPROBACION'!D589:D591)+SUM('BALANZA COMPROBACION'!D592:D595)</f>
        <v>0</v>
      </c>
      <c r="L43" s="43"/>
    </row>
    <row r="44" spans="2:12" ht="12" customHeight="1" x14ac:dyDescent="0.2">
      <c r="B44" s="54"/>
      <c r="C44" s="38"/>
      <c r="D44" s="38"/>
      <c r="E44" s="38"/>
      <c r="F44" s="38"/>
      <c r="G44" s="38"/>
      <c r="H44" s="464" t="s">
        <v>673</v>
      </c>
      <c r="I44" s="464"/>
      <c r="J44" s="45">
        <f>SUM('BALANZA COMPROBACION'!H596:H600)</f>
        <v>0</v>
      </c>
      <c r="K44" s="45">
        <f>SUM('BALANZA COMPROBACION'!D596:D600)</f>
        <v>0</v>
      </c>
      <c r="L44" s="43"/>
    </row>
    <row r="45" spans="2:12" ht="25.5" customHeight="1" x14ac:dyDescent="0.2">
      <c r="B45" s="54"/>
      <c r="C45" s="38"/>
      <c r="D45" s="38"/>
      <c r="E45" s="38"/>
      <c r="F45" s="38"/>
      <c r="G45" s="38"/>
      <c r="H45" s="465" t="s">
        <v>674</v>
      </c>
      <c r="I45" s="465"/>
      <c r="J45" s="45">
        <f>SUM('BALANZA COMPROBACION'!H601)</f>
        <v>0</v>
      </c>
      <c r="K45" s="45">
        <f>SUM('BALANZA COMPROBACION'!D601)</f>
        <v>0</v>
      </c>
      <c r="L45" s="43"/>
    </row>
    <row r="46" spans="2:12" x14ac:dyDescent="0.2">
      <c r="B46" s="54"/>
      <c r="C46" s="38"/>
      <c r="D46" s="38"/>
      <c r="E46" s="38"/>
      <c r="F46" s="38"/>
      <c r="G46" s="38"/>
      <c r="H46" s="464" t="s">
        <v>675</v>
      </c>
      <c r="I46" s="464"/>
      <c r="J46" s="45">
        <f>SUM('BALANZA COMPROBACION'!H602)</f>
        <v>0</v>
      </c>
      <c r="K46" s="45">
        <f>SUM('BALANZA COMPROBACION'!D602)</f>
        <v>0</v>
      </c>
      <c r="L46" s="43"/>
    </row>
    <row r="47" spans="2:12" x14ac:dyDescent="0.2">
      <c r="B47" s="54"/>
      <c r="C47" s="38"/>
      <c r="D47" s="38"/>
      <c r="E47" s="38"/>
      <c r="F47" s="38"/>
      <c r="G47" s="38"/>
      <c r="H47" s="464" t="s">
        <v>676</v>
      </c>
      <c r="I47" s="464"/>
      <c r="J47" s="45">
        <f>SUM('BALANZA COMPROBACION'!H603:H610)</f>
        <v>0</v>
      </c>
      <c r="K47" s="45">
        <f>SUM('BALANZA COMPROBACION'!D603:D610)</f>
        <v>0</v>
      </c>
      <c r="L47" s="43"/>
    </row>
    <row r="48" spans="2:12" x14ac:dyDescent="0.2">
      <c r="B48" s="54"/>
      <c r="C48" s="38"/>
      <c r="D48" s="38"/>
      <c r="E48" s="38"/>
      <c r="F48" s="38"/>
      <c r="G48" s="38"/>
      <c r="H48" s="313"/>
      <c r="I48" s="47"/>
      <c r="J48" s="48"/>
      <c r="K48" s="48"/>
      <c r="L48" s="43"/>
    </row>
    <row r="49" spans="2:12" x14ac:dyDescent="0.2">
      <c r="B49" s="54"/>
      <c r="C49" s="38"/>
      <c r="D49" s="38"/>
      <c r="E49" s="38"/>
      <c r="F49" s="38"/>
      <c r="G49" s="38"/>
      <c r="H49" s="463" t="s">
        <v>677</v>
      </c>
      <c r="I49" s="463"/>
      <c r="J49" s="53">
        <f>SUM(J50)</f>
        <v>0</v>
      </c>
      <c r="K49" s="53">
        <f>SUM(K50)</f>
        <v>0</v>
      </c>
      <c r="L49" s="43"/>
    </row>
    <row r="50" spans="2:12" x14ac:dyDescent="0.2">
      <c r="B50" s="54"/>
      <c r="C50" s="38"/>
      <c r="D50" s="38"/>
      <c r="E50" s="38"/>
      <c r="F50" s="38"/>
      <c r="G50" s="38"/>
      <c r="H50" s="464" t="s">
        <v>678</v>
      </c>
      <c r="I50" s="464"/>
      <c r="J50" s="45">
        <f>SUM('BALANZA COMPROBACION'!H611)</f>
        <v>0</v>
      </c>
      <c r="K50" s="45">
        <f>SUM('BALANZA COMPROBACION'!D611)</f>
        <v>0</v>
      </c>
      <c r="L50" s="43"/>
    </row>
    <row r="51" spans="2:12" x14ac:dyDescent="0.2">
      <c r="B51" s="54"/>
      <c r="C51" s="38"/>
      <c r="D51" s="38"/>
      <c r="E51" s="38"/>
      <c r="F51" s="38"/>
      <c r="G51" s="38"/>
      <c r="H51" s="313"/>
      <c r="I51" s="47"/>
      <c r="J51" s="48"/>
      <c r="K51" s="48"/>
      <c r="L51" s="43"/>
    </row>
    <row r="52" spans="2:12" x14ac:dyDescent="0.2">
      <c r="B52" s="54"/>
      <c r="C52" s="38"/>
      <c r="D52" s="38"/>
      <c r="E52" s="38"/>
      <c r="F52" s="38"/>
      <c r="G52" s="38"/>
      <c r="H52" s="468" t="s">
        <v>679</v>
      </c>
      <c r="I52" s="468"/>
      <c r="J52" s="55">
        <f>J13+J18+J29+J34+J41+J49</f>
        <v>7769214578.2799997</v>
      </c>
      <c r="K52" s="55">
        <f>K13+K18+K29+K34+K41+K49</f>
        <v>7434451449.0500002</v>
      </c>
      <c r="L52" s="56"/>
    </row>
    <row r="53" spans="2:12" x14ac:dyDescent="0.2">
      <c r="B53" s="54"/>
      <c r="C53" s="38"/>
      <c r="D53" s="38"/>
      <c r="E53" s="38"/>
      <c r="F53" s="38"/>
      <c r="G53" s="38"/>
      <c r="H53" s="319"/>
      <c r="I53" s="319"/>
      <c r="J53" s="48"/>
      <c r="K53" s="48"/>
      <c r="L53" s="56"/>
    </row>
    <row r="54" spans="2:12" x14ac:dyDescent="0.2">
      <c r="B54" s="54"/>
      <c r="C54" s="38"/>
      <c r="D54" s="38"/>
      <c r="E54" s="38"/>
      <c r="F54" s="38"/>
      <c r="G54" s="38"/>
      <c r="H54" s="469" t="s">
        <v>680</v>
      </c>
      <c r="I54" s="469"/>
      <c r="J54" s="55">
        <f>E34-J52</f>
        <v>-42133210.119999886</v>
      </c>
      <c r="K54" s="55">
        <f>F34-K52</f>
        <v>-84504930.850000381</v>
      </c>
      <c r="L54" s="56"/>
    </row>
    <row r="55" spans="2:12" ht="12.75" customHeight="1" x14ac:dyDescent="0.2">
      <c r="B55" s="224"/>
      <c r="C55" s="59"/>
      <c r="D55" s="59"/>
      <c r="E55" s="59"/>
      <c r="F55" s="59"/>
      <c r="G55" s="59"/>
      <c r="H55" s="60"/>
      <c r="I55" s="60"/>
      <c r="J55" s="59"/>
      <c r="K55" s="59"/>
      <c r="L55" s="61"/>
    </row>
    <row r="56" spans="2:12" ht="15" customHeight="1" x14ac:dyDescent="0.2">
      <c r="B56" s="22"/>
      <c r="C56" s="470" t="s">
        <v>681</v>
      </c>
      <c r="D56" s="470"/>
      <c r="E56" s="470"/>
      <c r="F56" s="470"/>
      <c r="G56" s="470"/>
      <c r="H56" s="470"/>
      <c r="I56" s="470"/>
      <c r="J56" s="470"/>
      <c r="K56" s="470"/>
    </row>
    <row r="57" spans="2:12" ht="9.75" customHeight="1" x14ac:dyDescent="0.2">
      <c r="B57" s="22"/>
      <c r="C57" s="47"/>
      <c r="D57" s="67"/>
      <c r="E57" s="68"/>
      <c r="F57" s="68"/>
      <c r="G57" s="22"/>
      <c r="H57" s="69"/>
      <c r="I57" s="67"/>
      <c r="J57" s="68"/>
      <c r="K57" s="68"/>
    </row>
    <row r="58" spans="2:12" ht="9.75" customHeight="1" x14ac:dyDescent="0.2">
      <c r="B58" s="22"/>
      <c r="C58" s="47"/>
      <c r="D58" s="67"/>
      <c r="E58" s="68"/>
      <c r="F58" s="68"/>
      <c r="G58" s="22"/>
      <c r="H58" s="69"/>
      <c r="I58" s="67"/>
      <c r="J58" s="68"/>
      <c r="K58" s="68"/>
    </row>
    <row r="59" spans="2:12" ht="9.75" customHeight="1" x14ac:dyDescent="0.2">
      <c r="B59" s="22"/>
      <c r="C59" s="47"/>
      <c r="D59" s="67"/>
      <c r="E59" s="68"/>
      <c r="F59" s="68"/>
      <c r="G59" s="22"/>
      <c r="H59" s="69"/>
      <c r="I59" s="67"/>
      <c r="J59" s="68"/>
      <c r="K59" s="68"/>
    </row>
    <row r="60" spans="2:12" ht="9.75" customHeight="1" x14ac:dyDescent="0.2">
      <c r="C60" s="47"/>
      <c r="D60" s="67"/>
      <c r="E60" s="68"/>
      <c r="F60" s="68"/>
      <c r="H60" s="69"/>
      <c r="I60" s="67"/>
      <c r="J60" s="68"/>
      <c r="K60" s="68"/>
    </row>
    <row r="61" spans="2:12" ht="9.75" customHeight="1" x14ac:dyDescent="0.2">
      <c r="C61" s="47"/>
      <c r="D61" s="67"/>
      <c r="E61" s="68"/>
      <c r="F61" s="68"/>
      <c r="H61" s="69"/>
      <c r="I61" s="67"/>
      <c r="J61" s="68"/>
      <c r="K61" s="68"/>
    </row>
    <row r="62" spans="2:12" ht="30" customHeight="1" x14ac:dyDescent="0.2">
      <c r="C62" s="47"/>
      <c r="D62" s="471"/>
      <c r="E62" s="471"/>
      <c r="F62" s="68"/>
      <c r="H62" s="472"/>
      <c r="I62" s="472"/>
      <c r="J62" s="68"/>
      <c r="K62" s="68"/>
    </row>
    <row r="63" spans="2:12" ht="14.1" customHeight="1" x14ac:dyDescent="0.2">
      <c r="C63" s="71"/>
      <c r="D63" s="466" t="str">
        <f>ENTE!D10</f>
        <v>ING. ENRIQUE DE ECHAVARRI LARY</v>
      </c>
      <c r="E63" s="466"/>
      <c r="F63" s="68"/>
      <c r="G63" s="68"/>
      <c r="H63" s="466" t="str">
        <f>ENTE!D14</f>
        <v>LIC. RICARDO SALVADOR BACA MUÑOZ</v>
      </c>
      <c r="I63" s="466"/>
      <c r="J63" s="72"/>
      <c r="K63" s="68"/>
    </row>
    <row r="64" spans="2:12" ht="14.1" customHeight="1" x14ac:dyDescent="0.2">
      <c r="C64" s="73"/>
      <c r="D64" s="467" t="str">
        <f>ENTE!D12</f>
        <v>COORDINADOR GENERAL</v>
      </c>
      <c r="E64" s="467"/>
      <c r="F64" s="74"/>
      <c r="G64" s="74"/>
      <c r="H64" s="467" t="str">
        <f>ENTE!D16</f>
        <v>DIRECTOR DE ADMINISTRACIÓN</v>
      </c>
      <c r="I64" s="467"/>
      <c r="J64" s="72"/>
      <c r="K64" s="68"/>
    </row>
    <row r="65" spans="5:5" ht="9.9499999999999993" customHeight="1" x14ac:dyDescent="0.2">
      <c r="E65" s="75"/>
    </row>
  </sheetData>
  <sheetProtection password="88C8" sheet="1" objects="1" scenarios="1" selectLockedCells="1"/>
  <mergeCells count="71">
    <mergeCell ref="C2:L2"/>
    <mergeCell ref="C13:D13"/>
    <mergeCell ref="H13:I13"/>
    <mergeCell ref="C3:L3"/>
    <mergeCell ref="C4:L4"/>
    <mergeCell ref="C5:L5"/>
    <mergeCell ref="C10:D10"/>
    <mergeCell ref="H10:I10"/>
    <mergeCell ref="C12:D12"/>
    <mergeCell ref="H12:I12"/>
    <mergeCell ref="D7:J7"/>
    <mergeCell ref="C20:D20"/>
    <mergeCell ref="H20:I20"/>
    <mergeCell ref="C14:D14"/>
    <mergeCell ref="H14:I14"/>
    <mergeCell ref="C15:D15"/>
    <mergeCell ref="H15:I15"/>
    <mergeCell ref="C16:D16"/>
    <mergeCell ref="H16:I16"/>
    <mergeCell ref="C17:D17"/>
    <mergeCell ref="C18:D18"/>
    <mergeCell ref="H18:I18"/>
    <mergeCell ref="C19:D19"/>
    <mergeCell ref="H19:I19"/>
    <mergeCell ref="C28:D28"/>
    <mergeCell ref="C21:D21"/>
    <mergeCell ref="H21:I21"/>
    <mergeCell ref="H22:I22"/>
    <mergeCell ref="C23:D23"/>
    <mergeCell ref="H23:I23"/>
    <mergeCell ref="C24:D24"/>
    <mergeCell ref="H24:I24"/>
    <mergeCell ref="C25:D25"/>
    <mergeCell ref="H25:I25"/>
    <mergeCell ref="H26:I26"/>
    <mergeCell ref="C27:D27"/>
    <mergeCell ref="H27:I27"/>
    <mergeCell ref="C29:D29"/>
    <mergeCell ref="H29:I29"/>
    <mergeCell ref="C30:D30"/>
    <mergeCell ref="H30:I30"/>
    <mergeCell ref="C31:D31"/>
    <mergeCell ref="H31:I31"/>
    <mergeCell ref="C32:D32"/>
    <mergeCell ref="H32:I32"/>
    <mergeCell ref="C34:D34"/>
    <mergeCell ref="H34:I34"/>
    <mergeCell ref="C35:D35"/>
    <mergeCell ref="H35:I35"/>
    <mergeCell ref="D63:E63"/>
    <mergeCell ref="H63:I63"/>
    <mergeCell ref="D64:E64"/>
    <mergeCell ref="H64:I64"/>
    <mergeCell ref="H50:I50"/>
    <mergeCell ref="H52:I52"/>
    <mergeCell ref="H54:I54"/>
    <mergeCell ref="C56:K56"/>
    <mergeCell ref="D62:E62"/>
    <mergeCell ref="H62:I62"/>
    <mergeCell ref="H49:I49"/>
    <mergeCell ref="H36:I36"/>
    <mergeCell ref="H37:I37"/>
    <mergeCell ref="H38:I38"/>
    <mergeCell ref="H39:I39"/>
    <mergeCell ref="H46:I46"/>
    <mergeCell ref="H47:I47"/>
    <mergeCell ref="H41:I41"/>
    <mergeCell ref="H42:I42"/>
    <mergeCell ref="H43:I43"/>
    <mergeCell ref="H44:I44"/>
    <mergeCell ref="H45:I4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3" fitToHeight="15" orientation="landscape" r:id="rId1"/>
  <headerFooter>
    <oddFooter>&amp;C&amp;A&amp;RPágina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B2:N71"/>
  <sheetViews>
    <sheetView showGridLines="0" view="pageBreakPreview" topLeftCell="A33" zoomScale="90" zoomScaleNormal="115" zoomScaleSheetLayoutView="90" zoomScalePageLayoutView="80" workbookViewId="0">
      <selection activeCell="C2" sqref="C2:L2"/>
    </sheetView>
  </sheetViews>
  <sheetFormatPr baseColWidth="10" defaultRowHeight="12" x14ac:dyDescent="0.2"/>
  <cols>
    <col min="1" max="1" width="1.85546875" style="22" customWidth="1"/>
    <col min="2" max="2" width="4.85546875" style="22" customWidth="1"/>
    <col min="3" max="3" width="27.5703125" style="38" customWidth="1"/>
    <col min="4" max="4" width="28.28515625" style="22" customWidth="1"/>
    <col min="5" max="5" width="16" style="22" customWidth="1"/>
    <col min="6" max="6" width="14.5703125" style="22" customWidth="1"/>
    <col min="7" max="7" width="11" style="86" customWidth="1"/>
    <col min="8" max="9" width="27.5703125" style="22" customWidth="1"/>
    <col min="10" max="10" width="16.85546875" style="22" customWidth="1"/>
    <col min="11" max="11" width="15.140625" style="22" customWidth="1"/>
    <col min="12" max="12" width="3.28515625" style="23" customWidth="1"/>
    <col min="13" max="13" width="1.7109375" style="77" customWidth="1"/>
    <col min="14" max="16384" width="11.42578125" style="22"/>
  </cols>
  <sheetData>
    <row r="2" spans="2:13" ht="12" customHeight="1" x14ac:dyDescent="0.2">
      <c r="B2" s="23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206"/>
    </row>
    <row r="3" spans="2:13" ht="12" customHeight="1" x14ac:dyDescent="0.2">
      <c r="C3" s="480" t="s">
        <v>682</v>
      </c>
      <c r="D3" s="480"/>
      <c r="E3" s="480"/>
      <c r="F3" s="480"/>
      <c r="G3" s="480"/>
      <c r="H3" s="480"/>
      <c r="I3" s="480"/>
      <c r="J3" s="480"/>
      <c r="K3" s="480"/>
      <c r="L3" s="480"/>
    </row>
    <row r="4" spans="2:13" ht="12" customHeight="1" x14ac:dyDescent="0.2">
      <c r="C4" s="480" t="str">
        <f>"Al "&amp;TEXT(INDEX(Periodos,ENTE!D18,1),"dd")&amp;" de "&amp;TEXT(INDEX(Periodos,ENTE!D18,1),"mmmm")&amp;" de "&amp;TEXT(INDEX(Periodos,ENTE!D18,1),"aaaa")&amp;" y 2017"</f>
        <v>Al 31 de diciembre de 2018 y 2017</v>
      </c>
      <c r="D4" s="480"/>
      <c r="E4" s="480"/>
      <c r="F4" s="480"/>
      <c r="G4" s="480"/>
      <c r="H4" s="480"/>
      <c r="I4" s="480"/>
      <c r="J4" s="480"/>
      <c r="K4" s="480"/>
      <c r="L4" s="480"/>
    </row>
    <row r="5" spans="2:13" ht="12" customHeight="1" x14ac:dyDescent="0.2">
      <c r="C5" s="481" t="s">
        <v>624</v>
      </c>
      <c r="D5" s="481"/>
      <c r="E5" s="481"/>
      <c r="F5" s="481"/>
      <c r="G5" s="481"/>
      <c r="H5" s="481"/>
      <c r="I5" s="481"/>
      <c r="J5" s="481"/>
      <c r="K5" s="481"/>
      <c r="L5" s="481"/>
    </row>
    <row r="6" spans="2:13" ht="12" customHeight="1" x14ac:dyDescent="0.2">
      <c r="C6" s="322"/>
      <c r="D6" s="322"/>
      <c r="E6" s="322"/>
      <c r="F6" s="322"/>
      <c r="G6" s="322"/>
      <c r="H6" s="322"/>
      <c r="I6" s="322"/>
      <c r="J6" s="322"/>
      <c r="K6" s="322"/>
      <c r="L6" s="322"/>
    </row>
    <row r="7" spans="2:13" ht="12" customHeight="1" x14ac:dyDescent="0.2">
      <c r="B7" s="78"/>
      <c r="C7" s="325" t="s">
        <v>6</v>
      </c>
      <c r="D7" s="477" t="str">
        <f>ENTE!D8</f>
        <v>UNIDAD DE SERVICIOS PARA LA EDUCACIÓN BÁSICA EN EL ESTADO DE QUERÉTARO</v>
      </c>
      <c r="E7" s="477"/>
      <c r="F7" s="477"/>
      <c r="G7" s="477"/>
      <c r="H7" s="477"/>
      <c r="I7" s="477"/>
      <c r="J7" s="477"/>
      <c r="K7" s="116"/>
      <c r="L7" s="116"/>
    </row>
    <row r="8" spans="2:13" ht="3" customHeight="1" x14ac:dyDescent="0.2">
      <c r="B8" s="79"/>
      <c r="C8" s="79"/>
      <c r="D8" s="79"/>
      <c r="E8" s="79"/>
      <c r="F8" s="79"/>
      <c r="G8" s="80"/>
      <c r="H8" s="79"/>
      <c r="I8" s="79"/>
      <c r="J8" s="79"/>
      <c r="K8" s="79"/>
      <c r="L8" s="22"/>
      <c r="M8" s="38"/>
    </row>
    <row r="9" spans="2:13" ht="3" customHeight="1" x14ac:dyDescent="0.2">
      <c r="B9" s="79"/>
      <c r="C9" s="79"/>
      <c r="D9" s="79"/>
      <c r="E9" s="79"/>
      <c r="F9" s="79"/>
      <c r="G9" s="80"/>
      <c r="H9" s="79"/>
      <c r="I9" s="79"/>
      <c r="J9" s="79"/>
      <c r="K9" s="79"/>
    </row>
    <row r="10" spans="2:13" s="67" customFormat="1" ht="24" customHeight="1" x14ac:dyDescent="0.2">
      <c r="B10" s="221"/>
      <c r="C10" s="479" t="s">
        <v>625</v>
      </c>
      <c r="D10" s="479"/>
      <c r="E10" s="172">
        <v>2018</v>
      </c>
      <c r="F10" s="172">
        <v>2017</v>
      </c>
      <c r="G10" s="222"/>
      <c r="H10" s="479" t="s">
        <v>625</v>
      </c>
      <c r="I10" s="479"/>
      <c r="J10" s="172">
        <v>2018</v>
      </c>
      <c r="K10" s="172">
        <v>2017</v>
      </c>
      <c r="L10" s="223"/>
      <c r="M10" s="175"/>
    </row>
    <row r="11" spans="2:13" ht="3" customHeight="1" x14ac:dyDescent="0.2">
      <c r="B11" s="83"/>
      <c r="C11" s="79"/>
      <c r="D11" s="79"/>
      <c r="E11" s="79"/>
      <c r="F11" s="79"/>
      <c r="G11" s="80"/>
      <c r="H11" s="79"/>
      <c r="I11" s="79"/>
      <c r="J11" s="79"/>
      <c r="K11" s="79"/>
      <c r="L11" s="35"/>
      <c r="M11" s="38"/>
    </row>
    <row r="12" spans="2:13" ht="3" customHeight="1" x14ac:dyDescent="0.2">
      <c r="B12" s="83"/>
      <c r="C12" s="79"/>
      <c r="D12" s="79"/>
      <c r="E12" s="79"/>
      <c r="F12" s="79"/>
      <c r="G12" s="80"/>
      <c r="H12" s="79"/>
      <c r="I12" s="79"/>
      <c r="J12" s="79"/>
      <c r="K12" s="79"/>
      <c r="L12" s="35"/>
    </row>
    <row r="13" spans="2:13" x14ac:dyDescent="0.2">
      <c r="B13" s="84"/>
      <c r="C13" s="463" t="s">
        <v>685</v>
      </c>
      <c r="D13" s="463"/>
      <c r="E13" s="85"/>
      <c r="F13" s="47"/>
      <c r="H13" s="463" t="s">
        <v>686</v>
      </c>
      <c r="I13" s="463"/>
      <c r="J13" s="72"/>
      <c r="K13" s="72"/>
      <c r="L13" s="35"/>
    </row>
    <row r="14" spans="2:13" ht="5.0999999999999996" customHeight="1" x14ac:dyDescent="0.2">
      <c r="B14" s="84"/>
      <c r="C14" s="313"/>
      <c r="D14" s="72"/>
      <c r="E14" s="37"/>
      <c r="F14" s="37"/>
      <c r="H14" s="313"/>
      <c r="I14" s="72"/>
      <c r="J14" s="42"/>
      <c r="K14" s="42"/>
      <c r="L14" s="35"/>
    </row>
    <row r="15" spans="2:13" x14ac:dyDescent="0.2">
      <c r="B15" s="84"/>
      <c r="C15" s="468" t="s">
        <v>687</v>
      </c>
      <c r="D15" s="468"/>
      <c r="E15" s="37"/>
      <c r="F15" s="37"/>
      <c r="H15" s="468" t="s">
        <v>688</v>
      </c>
      <c r="I15" s="468"/>
      <c r="J15" s="37"/>
      <c r="K15" s="37"/>
      <c r="L15" s="35"/>
    </row>
    <row r="16" spans="2:13" ht="5.0999999999999996" customHeight="1" x14ac:dyDescent="0.2">
      <c r="B16" s="84"/>
      <c r="C16" s="319"/>
      <c r="D16" s="49"/>
      <c r="E16" s="37"/>
      <c r="F16" s="37"/>
      <c r="H16" s="319"/>
      <c r="I16" s="49"/>
      <c r="J16" s="37"/>
      <c r="K16" s="37"/>
      <c r="L16" s="35"/>
    </row>
    <row r="17" spans="2:12" x14ac:dyDescent="0.2">
      <c r="B17" s="84"/>
      <c r="C17" s="464" t="s">
        <v>689</v>
      </c>
      <c r="D17" s="464"/>
      <c r="E17" s="37">
        <f>SUM('BALANZA COMPROBACION'!H11:H25)</f>
        <v>8457282.0199999996</v>
      </c>
      <c r="F17" s="37">
        <f>SUM('BALANZA COMPROBACION'!D11:D25)</f>
        <v>12381117.210000001</v>
      </c>
      <c r="H17" s="464" t="s">
        <v>690</v>
      </c>
      <c r="I17" s="464"/>
      <c r="J17" s="37">
        <f>-SUM('BALANZA COMPROBACION'!H287:H331)</f>
        <v>3523019.99</v>
      </c>
      <c r="K17" s="37">
        <f>-SUM('BALANZA COMPROBACION'!D287:D331)</f>
        <v>5967503.6400000006</v>
      </c>
      <c r="L17" s="35"/>
    </row>
    <row r="18" spans="2:12" x14ac:dyDescent="0.2">
      <c r="B18" s="84"/>
      <c r="C18" s="464" t="s">
        <v>691</v>
      </c>
      <c r="D18" s="464"/>
      <c r="E18" s="37">
        <f>SUM('BALANZA COMPROBACION'!H26:H56)</f>
        <v>341051.93</v>
      </c>
      <c r="F18" s="37">
        <f>SUM('BALANZA COMPROBACION'!D26:D56)</f>
        <v>4294114.1099999994</v>
      </c>
      <c r="H18" s="464" t="s">
        <v>692</v>
      </c>
      <c r="I18" s="464"/>
      <c r="J18" s="37">
        <f>-SUM('BALANZA COMPROBACION'!H332:H337)</f>
        <v>0</v>
      </c>
      <c r="K18" s="37">
        <f>-SUM('BALANZA COMPROBACION'!D332:D337)</f>
        <v>3328850.88</v>
      </c>
      <c r="L18" s="35"/>
    </row>
    <row r="19" spans="2:12" x14ac:dyDescent="0.2">
      <c r="B19" s="84"/>
      <c r="C19" s="464" t="s">
        <v>693</v>
      </c>
      <c r="D19" s="464"/>
      <c r="E19" s="37">
        <f>SUM('BALANZA COMPROBACION'!H57:H64)</f>
        <v>0</v>
      </c>
      <c r="F19" s="37">
        <f>SUM('BALANZA COMPROBACION'!D57:D64)</f>
        <v>0</v>
      </c>
      <c r="H19" s="464" t="s">
        <v>694</v>
      </c>
      <c r="I19" s="464"/>
      <c r="J19" s="37">
        <f>-SUM('BALANZA COMPROBACION'!H338:H343)</f>
        <v>0</v>
      </c>
      <c r="K19" s="37">
        <f>-SUM('BALANZA COMPROBACION'!D338:D343)</f>
        <v>0</v>
      </c>
      <c r="L19" s="35"/>
    </row>
    <row r="20" spans="2:12" x14ac:dyDescent="0.2">
      <c r="B20" s="84"/>
      <c r="C20" s="464" t="s">
        <v>695</v>
      </c>
      <c r="D20" s="464"/>
      <c r="E20" s="37">
        <f>SUM('BALANZA COMPROBACION'!H65:H93)</f>
        <v>0</v>
      </c>
      <c r="F20" s="37">
        <f>SUM('BALANZA COMPROBACION'!D65:D93)</f>
        <v>0</v>
      </c>
      <c r="H20" s="464" t="s">
        <v>696</v>
      </c>
      <c r="I20" s="464"/>
      <c r="J20" s="37">
        <f>-SUM('BALANZA COMPROBACION'!H344:H345)</f>
        <v>0</v>
      </c>
      <c r="K20" s="37">
        <f>-SUM('BALANZA COMPROBACION'!D344:D345)</f>
        <v>0</v>
      </c>
      <c r="L20" s="35"/>
    </row>
    <row r="21" spans="2:12" x14ac:dyDescent="0.2">
      <c r="B21" s="84"/>
      <c r="C21" s="464" t="s">
        <v>697</v>
      </c>
      <c r="D21" s="464"/>
      <c r="E21" s="37">
        <f>SUM('BALANZA COMPROBACION'!H94:H101)</f>
        <v>21481391.219999999</v>
      </c>
      <c r="F21" s="37">
        <f>SUM('BALANZA COMPROBACION'!D94:D101)</f>
        <v>3437142.63</v>
      </c>
      <c r="H21" s="464" t="s">
        <v>698</v>
      </c>
      <c r="I21" s="464"/>
      <c r="J21" s="37">
        <f>-SUM('BALANZA COMPROBACION'!H346:H348)</f>
        <v>0</v>
      </c>
      <c r="K21" s="37">
        <f>-SUM('BALANZA COMPROBACION'!D346:D348)</f>
        <v>0</v>
      </c>
      <c r="L21" s="35"/>
    </row>
    <row r="22" spans="2:12" ht="25.5" customHeight="1" x14ac:dyDescent="0.2">
      <c r="B22" s="84"/>
      <c r="C22" s="464" t="s">
        <v>699</v>
      </c>
      <c r="D22" s="464"/>
      <c r="E22" s="37">
        <f>SUM('BALANZA COMPROBACION'!H102:H111)</f>
        <v>0</v>
      </c>
      <c r="F22" s="37">
        <f>SUM('BALANZA COMPROBACION'!D102:D111)</f>
        <v>0</v>
      </c>
      <c r="H22" s="465" t="s">
        <v>700</v>
      </c>
      <c r="I22" s="465"/>
      <c r="J22" s="37">
        <f>-SUM('BALANZA COMPROBACION'!H349:H355)</f>
        <v>0</v>
      </c>
      <c r="K22" s="37">
        <f>-SUM('BALANZA COMPROBACION'!D349:D355)</f>
        <v>0</v>
      </c>
      <c r="L22" s="35"/>
    </row>
    <row r="23" spans="2:12" x14ac:dyDescent="0.2">
      <c r="B23" s="84"/>
      <c r="C23" s="464" t="s">
        <v>701</v>
      </c>
      <c r="D23" s="464"/>
      <c r="E23" s="37">
        <f>SUM('BALANZA COMPROBACION'!H112:H123)</f>
        <v>0</v>
      </c>
      <c r="F23" s="37">
        <f>SUM('BALANZA COMPROBACION'!D112:D123)</f>
        <v>0</v>
      </c>
      <c r="H23" s="464" t="s">
        <v>702</v>
      </c>
      <c r="I23" s="464"/>
      <c r="J23" s="37">
        <f>-SUM('BALANZA COMPROBACION'!H356:H358)</f>
        <v>0</v>
      </c>
      <c r="K23" s="37">
        <f>-SUM('BALANZA COMPROBACION'!D356:D358)</f>
        <v>0</v>
      </c>
      <c r="L23" s="35"/>
    </row>
    <row r="24" spans="2:12" x14ac:dyDescent="0.2">
      <c r="B24" s="84"/>
      <c r="C24" s="75"/>
      <c r="D24" s="316"/>
      <c r="E24" s="45"/>
      <c r="F24" s="45"/>
      <c r="H24" s="464" t="s">
        <v>703</v>
      </c>
      <c r="I24" s="464"/>
      <c r="J24" s="37">
        <f>-SUM('BALANZA COMPROBACION'!H359:H361)</f>
        <v>0</v>
      </c>
      <c r="K24" s="37">
        <f>-SUM('BALANZA COMPROBACION'!D359:D361)</f>
        <v>0</v>
      </c>
      <c r="L24" s="35"/>
    </row>
    <row r="25" spans="2:12" x14ac:dyDescent="0.2">
      <c r="B25" s="88"/>
      <c r="C25" s="468" t="s">
        <v>704</v>
      </c>
      <c r="D25" s="468"/>
      <c r="E25" s="42">
        <f>SUM(E17:E23)</f>
        <v>30279725.169999998</v>
      </c>
      <c r="F25" s="42">
        <f>SUM(F17:F23)</f>
        <v>20112373.949999999</v>
      </c>
      <c r="G25" s="89"/>
      <c r="H25" s="313"/>
      <c r="I25" s="72"/>
      <c r="J25" s="53"/>
      <c r="K25" s="53"/>
      <c r="L25" s="35"/>
    </row>
    <row r="26" spans="2:12" x14ac:dyDescent="0.2">
      <c r="B26" s="88"/>
      <c r="C26" s="313"/>
      <c r="D26" s="312"/>
      <c r="E26" s="53"/>
      <c r="F26" s="53"/>
      <c r="G26" s="89"/>
      <c r="H26" s="468" t="s">
        <v>705</v>
      </c>
      <c r="I26" s="468"/>
      <c r="J26" s="42">
        <f>SUM(J17:J24)</f>
        <v>3523019.99</v>
      </c>
      <c r="K26" s="42">
        <f>SUM(K17:K24)</f>
        <v>9296354.5199999996</v>
      </c>
      <c r="L26" s="35"/>
    </row>
    <row r="27" spans="2:12" x14ac:dyDescent="0.2">
      <c r="B27" s="84"/>
      <c r="C27" s="75"/>
      <c r="D27" s="75"/>
      <c r="E27" s="45"/>
      <c r="F27" s="45"/>
      <c r="H27" s="91"/>
      <c r="I27" s="316"/>
      <c r="J27" s="45"/>
      <c r="K27" s="45"/>
      <c r="L27" s="35"/>
    </row>
    <row r="28" spans="2:12" x14ac:dyDescent="0.2">
      <c r="B28" s="84"/>
      <c r="C28" s="468" t="s">
        <v>706</v>
      </c>
      <c r="D28" s="468"/>
      <c r="E28" s="37"/>
      <c r="F28" s="37"/>
      <c r="H28" s="468" t="s">
        <v>707</v>
      </c>
      <c r="I28" s="468"/>
      <c r="J28" s="37"/>
      <c r="K28" s="37"/>
      <c r="L28" s="35"/>
    </row>
    <row r="29" spans="2:12" x14ac:dyDescent="0.2">
      <c r="B29" s="84"/>
      <c r="C29" s="75"/>
      <c r="D29" s="75"/>
      <c r="E29" s="45"/>
      <c r="F29" s="45"/>
      <c r="H29" s="75"/>
      <c r="I29" s="316"/>
      <c r="J29" s="45"/>
      <c r="K29" s="45"/>
      <c r="L29" s="35"/>
    </row>
    <row r="30" spans="2:12" x14ac:dyDescent="0.2">
      <c r="B30" s="84"/>
      <c r="C30" s="464" t="s">
        <v>708</v>
      </c>
      <c r="D30" s="464"/>
      <c r="E30" s="37">
        <f>SUM('BALANZA COMPROBACION'!H124:H141)</f>
        <v>0</v>
      </c>
      <c r="F30" s="37">
        <f>SUM('BALANZA COMPROBACION'!D124:D141)</f>
        <v>0</v>
      </c>
      <c r="H30" s="464" t="s">
        <v>709</v>
      </c>
      <c r="I30" s="464"/>
      <c r="J30" s="37">
        <f>-SUM('BALANZA COMPROBACION'!H362:H366)</f>
        <v>0</v>
      </c>
      <c r="K30" s="37">
        <f>-SUM('BALANZA COMPROBACION'!D362:D366)</f>
        <v>0</v>
      </c>
      <c r="L30" s="35"/>
    </row>
    <row r="31" spans="2:12" x14ac:dyDescent="0.2">
      <c r="B31" s="84"/>
      <c r="C31" s="464" t="s">
        <v>710</v>
      </c>
      <c r="D31" s="464"/>
      <c r="E31" s="37">
        <f>SUM('BALANZA COMPROBACION'!H142:H153)</f>
        <v>0</v>
      </c>
      <c r="F31" s="37">
        <f>SUM('BALANZA COMPROBACION'!D142:D153)</f>
        <v>0</v>
      </c>
      <c r="H31" s="464" t="s">
        <v>711</v>
      </c>
      <c r="I31" s="464"/>
      <c r="J31" s="37">
        <f>-SUM('BALANZA COMPROBACION'!H367:H372)</f>
        <v>0</v>
      </c>
      <c r="K31" s="37">
        <f>-SUM('BALANZA COMPROBACION'!D367:D372)</f>
        <v>0</v>
      </c>
      <c r="L31" s="35"/>
    </row>
    <row r="32" spans="2:12" x14ac:dyDescent="0.2">
      <c r="B32" s="84"/>
      <c r="C32" s="464" t="s">
        <v>712</v>
      </c>
      <c r="D32" s="464"/>
      <c r="E32" s="37">
        <f>SUM('BALANZA COMPROBACION'!H154:H182)</f>
        <v>437129139.00999999</v>
      </c>
      <c r="F32" s="37">
        <f>SUM('BALANZA COMPROBACION'!D154:D182)</f>
        <v>449709044.76999998</v>
      </c>
      <c r="H32" s="464" t="s">
        <v>713</v>
      </c>
      <c r="I32" s="464"/>
      <c r="J32" s="37">
        <f>-SUM('BALANZA COMPROBACION'!H373:H378)</f>
        <v>0</v>
      </c>
      <c r="K32" s="37">
        <f>-SUM('BALANZA COMPROBACION'!D373:D378)</f>
        <v>0</v>
      </c>
      <c r="L32" s="35"/>
    </row>
    <row r="33" spans="2:12" x14ac:dyDescent="0.2">
      <c r="B33" s="84"/>
      <c r="C33" s="464" t="s">
        <v>714</v>
      </c>
      <c r="D33" s="464"/>
      <c r="E33" s="37">
        <f>SUM('BALANZA COMPROBACION'!H183:H218)</f>
        <v>600451272.93999994</v>
      </c>
      <c r="F33" s="37">
        <f>SUM('BALANZA COMPROBACION'!D183:D218)</f>
        <v>584033752.55999982</v>
      </c>
      <c r="H33" s="464" t="s">
        <v>715</v>
      </c>
      <c r="I33" s="464"/>
      <c r="J33" s="37">
        <f>-SUM('BALANZA COMPROBACION'!H379:H381)</f>
        <v>0</v>
      </c>
      <c r="K33" s="37">
        <f>-SUM('BALANZA COMPROBACION'!D379:D381)</f>
        <v>0</v>
      </c>
      <c r="L33" s="35"/>
    </row>
    <row r="34" spans="2:12" ht="26.25" customHeight="1" x14ac:dyDescent="0.2">
      <c r="B34" s="84"/>
      <c r="C34" s="464" t="s">
        <v>716</v>
      </c>
      <c r="D34" s="464"/>
      <c r="E34" s="37">
        <f>SUM('BALANZA COMPROBACION'!H219:H227)</f>
        <v>5456903.1299999999</v>
      </c>
      <c r="F34" s="37">
        <f>SUM('BALANZA COMPROBACION'!D219:D227)</f>
        <v>17986777.350000001</v>
      </c>
      <c r="H34" s="465" t="s">
        <v>717</v>
      </c>
      <c r="I34" s="465"/>
      <c r="J34" s="37">
        <f>-SUM('BALANZA COMPROBACION'!H382:H388)</f>
        <v>0</v>
      </c>
      <c r="K34" s="37">
        <f>-SUM('BALANZA COMPROBACION'!D382:D388)</f>
        <v>0</v>
      </c>
      <c r="L34" s="35"/>
    </row>
    <row r="35" spans="2:12" x14ac:dyDescent="0.2">
      <c r="B35" s="84"/>
      <c r="C35" s="464" t="s">
        <v>718</v>
      </c>
      <c r="D35" s="464"/>
      <c r="E35" s="37">
        <f>SUM('BALANZA COMPROBACION'!H228:H259)</f>
        <v>-214796739.53999999</v>
      </c>
      <c r="F35" s="37">
        <f>SUM('BALANZA COMPROBACION'!D228:D259)</f>
        <v>-182533410.93000001</v>
      </c>
      <c r="H35" s="464" t="s">
        <v>719</v>
      </c>
      <c r="I35" s="464"/>
      <c r="J35" s="37">
        <f>-SUM('BALANZA COMPROBACION'!H389:H392)</f>
        <v>0</v>
      </c>
      <c r="K35" s="37">
        <f>-SUM('BALANZA COMPROBACION'!D389:D392)</f>
        <v>0</v>
      </c>
      <c r="L35" s="35"/>
    </row>
    <row r="36" spans="2:12" x14ac:dyDescent="0.2">
      <c r="B36" s="84"/>
      <c r="C36" s="464" t="s">
        <v>720</v>
      </c>
      <c r="D36" s="464"/>
      <c r="E36" s="37">
        <f>SUM('BALANZA COMPROBACION'!H260:H269)</f>
        <v>0</v>
      </c>
      <c r="F36" s="37">
        <f>SUM('BALANZA COMPROBACION'!D260:D269)</f>
        <v>0</v>
      </c>
      <c r="H36" s="75"/>
      <c r="I36" s="316"/>
      <c r="J36" s="45"/>
      <c r="K36" s="45"/>
      <c r="L36" s="35"/>
    </row>
    <row r="37" spans="2:12" x14ac:dyDescent="0.2">
      <c r="B37" s="84"/>
      <c r="C37" s="464" t="s">
        <v>721</v>
      </c>
      <c r="D37" s="464"/>
      <c r="E37" s="37">
        <f>SUM('BALANZA COMPROBACION'!H270:H281)</f>
        <v>0</v>
      </c>
      <c r="F37" s="37">
        <f>SUM('BALANZA COMPROBACION'!D270:D281)</f>
        <v>0</v>
      </c>
      <c r="H37" s="468" t="s">
        <v>722</v>
      </c>
      <c r="I37" s="468"/>
      <c r="J37" s="42">
        <f>SUM(J30:J35)</f>
        <v>0</v>
      </c>
      <c r="K37" s="42">
        <f>SUM(K30:K35)</f>
        <v>0</v>
      </c>
      <c r="L37" s="35"/>
    </row>
    <row r="38" spans="2:12" x14ac:dyDescent="0.2">
      <c r="B38" s="84"/>
      <c r="C38" s="464" t="s">
        <v>723</v>
      </c>
      <c r="D38" s="464"/>
      <c r="E38" s="37">
        <f>SUM('BALANZA COMPROBACION'!H282:H286)</f>
        <v>0</v>
      </c>
      <c r="F38" s="37">
        <f>SUM('BALANZA COMPROBACION'!D282:D286)</f>
        <v>0</v>
      </c>
      <c r="H38" s="313"/>
      <c r="I38" s="312"/>
      <c r="J38" s="53"/>
      <c r="K38" s="53"/>
      <c r="L38" s="35"/>
    </row>
    <row r="39" spans="2:12" x14ac:dyDescent="0.2">
      <c r="B39" s="84"/>
      <c r="C39" s="75"/>
      <c r="D39" s="316"/>
      <c r="E39" s="45"/>
      <c r="F39" s="45"/>
      <c r="H39" s="468" t="s">
        <v>724</v>
      </c>
      <c r="I39" s="468"/>
      <c r="J39" s="42">
        <f>J26+J37</f>
        <v>3523019.99</v>
      </c>
      <c r="K39" s="42">
        <f>K26+K37</f>
        <v>9296354.5199999996</v>
      </c>
      <c r="L39" s="35"/>
    </row>
    <row r="40" spans="2:12" x14ac:dyDescent="0.2">
      <c r="B40" s="88"/>
      <c r="C40" s="468" t="s">
        <v>725</v>
      </c>
      <c r="D40" s="468"/>
      <c r="E40" s="42">
        <f>SUM(E30:E38)</f>
        <v>828240575.53999996</v>
      </c>
      <c r="F40" s="42">
        <f>SUM(F30:F38)</f>
        <v>869196163.74999976</v>
      </c>
      <c r="G40" s="89"/>
      <c r="H40" s="313"/>
      <c r="I40" s="330"/>
      <c r="J40" s="53"/>
      <c r="K40" s="53"/>
      <c r="L40" s="35"/>
    </row>
    <row r="41" spans="2:12" x14ac:dyDescent="0.2">
      <c r="B41" s="84"/>
      <c r="C41" s="75"/>
      <c r="D41" s="313"/>
      <c r="E41" s="45"/>
      <c r="F41" s="45"/>
      <c r="H41" s="463" t="s">
        <v>726</v>
      </c>
      <c r="I41" s="463"/>
      <c r="J41" s="45"/>
      <c r="K41" s="45"/>
      <c r="L41" s="35"/>
    </row>
    <row r="42" spans="2:12" x14ac:dyDescent="0.2">
      <c r="B42" s="84"/>
      <c r="C42" s="468" t="s">
        <v>727</v>
      </c>
      <c r="D42" s="468"/>
      <c r="E42" s="42">
        <f>E25+E40</f>
        <v>858520300.70999992</v>
      </c>
      <c r="F42" s="42">
        <f>F25+F40</f>
        <v>889308537.69999981</v>
      </c>
      <c r="H42" s="313"/>
      <c r="I42" s="330"/>
      <c r="J42" s="45"/>
      <c r="K42" s="45"/>
      <c r="L42" s="35"/>
    </row>
    <row r="43" spans="2:12" x14ac:dyDescent="0.2">
      <c r="B43" s="84"/>
      <c r="C43" s="75"/>
      <c r="D43" s="75"/>
      <c r="E43" s="45"/>
      <c r="F43" s="45"/>
      <c r="H43" s="468" t="s">
        <v>728</v>
      </c>
      <c r="I43" s="468"/>
      <c r="J43" s="42">
        <f>SUM(J45:J47)</f>
        <v>59622747.950000003</v>
      </c>
      <c r="K43" s="42">
        <f>SUM(K45:K47)</f>
        <v>28138858.09</v>
      </c>
      <c r="L43" s="35"/>
    </row>
    <row r="44" spans="2:12" x14ac:dyDescent="0.2">
      <c r="B44" s="84"/>
      <c r="C44" s="75"/>
      <c r="D44" s="75"/>
      <c r="E44" s="45"/>
      <c r="F44" s="45"/>
      <c r="H44" s="75"/>
      <c r="I44" s="47"/>
      <c r="J44" s="45"/>
      <c r="K44" s="45"/>
      <c r="L44" s="35"/>
    </row>
    <row r="45" spans="2:12" x14ac:dyDescent="0.2">
      <c r="B45" s="84"/>
      <c r="C45" s="75"/>
      <c r="D45" s="75"/>
      <c r="E45" s="45"/>
      <c r="F45" s="45"/>
      <c r="H45" s="464" t="s">
        <v>660</v>
      </c>
      <c r="I45" s="464"/>
      <c r="J45" s="37">
        <f>-SUM('BALANZA COMPROBACION'!H393:H397)</f>
        <v>0</v>
      </c>
      <c r="K45" s="37">
        <f>-SUM('BALANZA COMPROBACION'!D393:D397)</f>
        <v>0</v>
      </c>
      <c r="L45" s="35"/>
    </row>
    <row r="46" spans="2:12" ht="12" customHeight="1" x14ac:dyDescent="0.2">
      <c r="B46" s="84"/>
      <c r="C46" s="21" t="str">
        <f>IF(F42=K64," ","ERROR EN SUMA DE ACTIVOS - PASIVO Y PATRIMONIO DEL 2015 POR "&amp;F42-K64)</f>
        <v xml:space="preserve"> </v>
      </c>
      <c r="E46" s="93"/>
      <c r="F46" s="45"/>
      <c r="H46" s="464" t="s">
        <v>729</v>
      </c>
      <c r="I46" s="464"/>
      <c r="J46" s="37">
        <f>-SUM('BALANZA COMPROBACION'!H398:H401)</f>
        <v>59622747.950000003</v>
      </c>
      <c r="K46" s="37">
        <f>-SUM('BALANZA COMPROBACION'!D398:D401)</f>
        <v>28138858.09</v>
      </c>
      <c r="L46" s="35"/>
    </row>
    <row r="47" spans="2:12" ht="12" customHeight="1" x14ac:dyDescent="0.2">
      <c r="B47" s="84"/>
      <c r="C47" s="21" t="str">
        <f>IF(E42=J64," ","ERROR EN SUMA DE ACTIVOS - PASIVO Y PATRIMONIO DEL 2017 POR "&amp;E42-J64)</f>
        <v xml:space="preserve"> </v>
      </c>
      <c r="E47" s="93"/>
      <c r="F47" s="45"/>
      <c r="H47" s="464" t="s">
        <v>785</v>
      </c>
      <c r="I47" s="464"/>
      <c r="J47" s="37">
        <f>-SUM('BALANZA COMPROBACION'!H402:H405)</f>
        <v>0</v>
      </c>
      <c r="K47" s="37">
        <f>-SUM('BALANZA COMPROBACION'!D402:D405)</f>
        <v>0</v>
      </c>
      <c r="L47" s="35"/>
    </row>
    <row r="48" spans="2:12" ht="12" customHeight="1" x14ac:dyDescent="0.2">
      <c r="B48" s="84"/>
      <c r="C48" s="75"/>
      <c r="D48" s="93"/>
      <c r="E48" s="93"/>
      <c r="F48" s="45"/>
      <c r="H48" s="75"/>
      <c r="I48" s="47"/>
      <c r="J48" s="45"/>
      <c r="K48" s="45"/>
      <c r="L48" s="35"/>
    </row>
    <row r="49" spans="2:14" ht="12.75" customHeight="1" x14ac:dyDescent="0.2">
      <c r="B49" s="84"/>
      <c r="C49" s="75"/>
      <c r="D49" s="93"/>
      <c r="E49" s="93"/>
      <c r="F49" s="45"/>
      <c r="H49" s="468" t="s">
        <v>731</v>
      </c>
      <c r="I49" s="468"/>
      <c r="J49" s="42">
        <f>SUM(J51:J55)</f>
        <v>795374532.76999998</v>
      </c>
      <c r="K49" s="42">
        <f>SUM(K51:K55)</f>
        <v>851873325.08999968</v>
      </c>
      <c r="L49" s="35"/>
    </row>
    <row r="50" spans="2:14" ht="12.75" customHeight="1" x14ac:dyDescent="0.2">
      <c r="B50" s="84"/>
      <c r="C50" s="75"/>
      <c r="D50" s="93"/>
      <c r="E50" s="93"/>
      <c r="F50" s="45"/>
      <c r="H50" s="313"/>
      <c r="I50" s="47"/>
      <c r="J50" s="94"/>
      <c r="K50" s="94"/>
      <c r="L50" s="35"/>
    </row>
    <row r="51" spans="2:14" ht="12" customHeight="1" x14ac:dyDescent="0.2">
      <c r="B51" s="84"/>
      <c r="C51" s="75"/>
      <c r="D51" s="93"/>
      <c r="E51" s="93"/>
      <c r="F51" s="45"/>
      <c r="H51" s="464" t="s">
        <v>786</v>
      </c>
      <c r="I51" s="464"/>
      <c r="J51" s="37">
        <f>+EA!J54</f>
        <v>-42133210.119999886</v>
      </c>
      <c r="K51" s="37">
        <f>+EA!K54</f>
        <v>-84504930.850000381</v>
      </c>
      <c r="L51" s="35"/>
    </row>
    <row r="52" spans="2:14" ht="12" customHeight="1" x14ac:dyDescent="0.2">
      <c r="B52" s="84"/>
      <c r="C52" s="75"/>
      <c r="D52" s="93"/>
      <c r="E52" s="93"/>
      <c r="F52" s="45"/>
      <c r="H52" s="464" t="s">
        <v>733</v>
      </c>
      <c r="I52" s="464"/>
      <c r="J52" s="37">
        <f>-SUM('BALANZA COMPROBACION'!H407)</f>
        <v>837507742.88999987</v>
      </c>
      <c r="K52" s="37">
        <f>-SUM('BALANZA COMPROBACION'!D407)</f>
        <v>936378255.94000006</v>
      </c>
      <c r="L52" s="35"/>
      <c r="N52" s="268"/>
    </row>
    <row r="53" spans="2:14" ht="12" customHeight="1" x14ac:dyDescent="0.2">
      <c r="B53" s="84"/>
      <c r="C53" s="75"/>
      <c r="D53" s="93"/>
      <c r="E53" s="93"/>
      <c r="F53" s="45"/>
      <c r="H53" s="464" t="s">
        <v>734</v>
      </c>
      <c r="I53" s="464"/>
      <c r="J53" s="37">
        <f>-SUM('BALANZA COMPROBACION'!H408:H411)</f>
        <v>0</v>
      </c>
      <c r="K53" s="37">
        <f>-SUM('BALANZA COMPROBACION'!D408:D411)</f>
        <v>0</v>
      </c>
      <c r="L53" s="269"/>
    </row>
    <row r="54" spans="2:14" x14ac:dyDescent="0.2">
      <c r="B54" s="84"/>
      <c r="C54" s="75"/>
      <c r="D54" s="75"/>
      <c r="E54" s="45"/>
      <c r="F54" s="45"/>
      <c r="H54" s="464" t="s">
        <v>735</v>
      </c>
      <c r="I54" s="464"/>
      <c r="J54" s="37">
        <f>-SUM('BALANZA COMPROBACION'!H412:H414)</f>
        <v>0</v>
      </c>
      <c r="K54" s="37">
        <f>-SUM('BALANZA COMPROBACION'!D412:D414)</f>
        <v>0</v>
      </c>
      <c r="L54" s="35"/>
    </row>
    <row r="55" spans="2:14" x14ac:dyDescent="0.2">
      <c r="B55" s="84"/>
      <c r="C55" s="75"/>
      <c r="D55" s="75"/>
      <c r="E55" s="45"/>
      <c r="F55" s="45"/>
      <c r="H55" s="464" t="s">
        <v>736</v>
      </c>
      <c r="I55" s="464"/>
      <c r="J55" s="37">
        <f>-SUM('BALANZA COMPROBACION'!H415:H416)</f>
        <v>0</v>
      </c>
      <c r="K55" s="37">
        <f>-SUM('BALANZA COMPROBACION'!D415:D416)</f>
        <v>0</v>
      </c>
      <c r="L55" s="35"/>
      <c r="N55" s="268"/>
    </row>
    <row r="56" spans="2:14" x14ac:dyDescent="0.2">
      <c r="B56" s="84"/>
      <c r="C56" s="75"/>
      <c r="D56" s="75"/>
      <c r="E56" s="45"/>
      <c r="F56" s="45"/>
      <c r="H56" s="75"/>
      <c r="I56" s="47"/>
      <c r="J56" s="45"/>
      <c r="K56" s="45"/>
      <c r="L56" s="35"/>
    </row>
    <row r="57" spans="2:14" ht="29.25" customHeight="1" x14ac:dyDescent="0.2">
      <c r="B57" s="84"/>
      <c r="C57" s="75"/>
      <c r="D57" s="75"/>
      <c r="E57" s="45"/>
      <c r="F57" s="45"/>
      <c r="H57" s="468" t="s">
        <v>737</v>
      </c>
      <c r="I57" s="468"/>
      <c r="J57" s="42">
        <f>SUM(J59:J60)</f>
        <v>0</v>
      </c>
      <c r="K57" s="42">
        <f>SUM(K59:K60)</f>
        <v>0</v>
      </c>
      <c r="L57" s="35"/>
    </row>
    <row r="58" spans="2:14" ht="21.75" hidden="1" customHeight="1" x14ac:dyDescent="0.2">
      <c r="B58" s="84"/>
      <c r="C58" s="75"/>
      <c r="D58" s="75"/>
      <c r="E58" s="45"/>
      <c r="F58" s="45"/>
      <c r="H58" s="75"/>
      <c r="I58" s="47"/>
      <c r="J58" s="45"/>
      <c r="K58" s="45"/>
      <c r="L58" s="35"/>
    </row>
    <row r="59" spans="2:14" x14ac:dyDescent="0.2">
      <c r="B59" s="84"/>
      <c r="C59" s="75"/>
      <c r="D59" s="75"/>
      <c r="E59" s="45"/>
      <c r="F59" s="45"/>
      <c r="H59" s="464" t="s">
        <v>738</v>
      </c>
      <c r="I59" s="464"/>
      <c r="J59" s="37">
        <f>-SUM('BALANZA COMPROBACION'!H417)</f>
        <v>0</v>
      </c>
      <c r="K59" s="37">
        <f>-SUM('BALANZA COMPROBACION'!D417)</f>
        <v>0</v>
      </c>
      <c r="L59" s="35"/>
    </row>
    <row r="60" spans="2:14" x14ac:dyDescent="0.2">
      <c r="B60" s="84"/>
      <c r="C60" s="75"/>
      <c r="D60" s="75"/>
      <c r="E60" s="45"/>
      <c r="F60" s="45"/>
      <c r="H60" s="464" t="s">
        <v>739</v>
      </c>
      <c r="I60" s="464"/>
      <c r="J60" s="37">
        <f>-SUM('BALANZA COMPROBACION'!H418)</f>
        <v>0</v>
      </c>
      <c r="K60" s="37">
        <f>-SUM('BALANZA COMPROBACION'!D418)</f>
        <v>0</v>
      </c>
      <c r="L60" s="35"/>
    </row>
    <row r="61" spans="2:14" ht="9.9499999999999993" customHeight="1" x14ac:dyDescent="0.2">
      <c r="B61" s="84"/>
      <c r="C61" s="75"/>
      <c r="D61" s="95"/>
      <c r="E61" s="45"/>
      <c r="F61" s="45"/>
      <c r="H61" s="75"/>
      <c r="I61" s="320"/>
      <c r="J61" s="45"/>
      <c r="K61" s="45"/>
      <c r="L61" s="35"/>
    </row>
    <row r="62" spans="2:14" x14ac:dyDescent="0.2">
      <c r="B62" s="84"/>
      <c r="C62" s="75"/>
      <c r="D62" s="75"/>
      <c r="E62" s="45"/>
      <c r="F62" s="45"/>
      <c r="H62" s="468" t="s">
        <v>740</v>
      </c>
      <c r="I62" s="468"/>
      <c r="J62" s="42">
        <f>J43+J49+J57</f>
        <v>854997280.72000003</v>
      </c>
      <c r="K62" s="42">
        <f>K43+K49+K57</f>
        <v>880012183.17999971</v>
      </c>
      <c r="L62" s="35"/>
    </row>
    <row r="63" spans="2:14" ht="9.9499999999999993" customHeight="1" x14ac:dyDescent="0.2">
      <c r="B63" s="84"/>
      <c r="C63" s="75"/>
      <c r="D63" s="75"/>
      <c r="E63" s="45"/>
      <c r="F63" s="45"/>
      <c r="H63" s="75"/>
      <c r="I63" s="47"/>
      <c r="J63" s="45"/>
      <c r="K63" s="45"/>
      <c r="L63" s="35"/>
    </row>
    <row r="64" spans="2:14" x14ac:dyDescent="0.2">
      <c r="B64" s="84"/>
      <c r="C64" s="75"/>
      <c r="D64" s="75"/>
      <c r="E64" s="45"/>
      <c r="F64" s="45"/>
      <c r="H64" s="468" t="s">
        <v>741</v>
      </c>
      <c r="I64" s="468"/>
      <c r="J64" s="42">
        <f>J39+J62</f>
        <v>858520300.71000004</v>
      </c>
      <c r="K64" s="42">
        <f>K39+K62</f>
        <v>889308537.69999969</v>
      </c>
      <c r="L64" s="35"/>
    </row>
    <row r="65" spans="2:12" ht="6" customHeight="1" x14ac:dyDescent="0.2">
      <c r="B65" s="97"/>
      <c r="C65" s="98"/>
      <c r="D65" s="98"/>
      <c r="E65" s="98"/>
      <c r="F65" s="98"/>
      <c r="G65" s="99"/>
      <c r="H65" s="98"/>
      <c r="I65" s="98"/>
      <c r="J65" s="98"/>
      <c r="K65" s="98"/>
      <c r="L65" s="61"/>
    </row>
    <row r="66" spans="2:12" ht="15" customHeight="1" x14ac:dyDescent="0.2">
      <c r="C66" s="470" t="s">
        <v>681</v>
      </c>
      <c r="D66" s="470"/>
      <c r="E66" s="470"/>
      <c r="F66" s="470"/>
      <c r="G66" s="470"/>
      <c r="H66" s="470"/>
      <c r="I66" s="470"/>
      <c r="J66" s="470"/>
      <c r="K66" s="470"/>
    </row>
    <row r="67" spans="2:12" ht="15" customHeight="1" x14ac:dyDescent="0.2">
      <c r="C67" s="320"/>
      <c r="D67" s="320"/>
      <c r="E67" s="320"/>
      <c r="F67" s="320"/>
      <c r="G67" s="320"/>
      <c r="H67" s="320"/>
      <c r="I67" s="320"/>
      <c r="J67" s="320"/>
      <c r="K67" s="320"/>
    </row>
    <row r="68" spans="2:12" x14ac:dyDescent="0.2">
      <c r="C68" s="47"/>
      <c r="D68" s="67"/>
      <c r="E68" s="68"/>
      <c r="F68" s="68"/>
      <c r="H68" s="69"/>
      <c r="I68" s="67"/>
      <c r="J68" s="68"/>
      <c r="K68" s="68"/>
    </row>
    <row r="69" spans="2:12" ht="50.1" customHeight="1" x14ac:dyDescent="0.2">
      <c r="C69" s="47"/>
      <c r="D69" s="471"/>
      <c r="E69" s="471"/>
      <c r="F69" s="68"/>
      <c r="H69" s="472"/>
      <c r="I69" s="472"/>
      <c r="J69" s="68"/>
      <c r="K69" s="68"/>
    </row>
    <row r="70" spans="2:12" ht="14.1" customHeight="1" x14ac:dyDescent="0.2">
      <c r="C70" s="71"/>
      <c r="D70" s="478" t="str">
        <f>ENTE!D10</f>
        <v>ING. ENRIQUE DE ECHAVARRI LARY</v>
      </c>
      <c r="E70" s="478"/>
      <c r="F70" s="68"/>
      <c r="G70" s="100"/>
      <c r="H70" s="478" t="str">
        <f>ENTE!D14</f>
        <v>LIC. RICARDO SALVADOR BACA MUÑOZ</v>
      </c>
      <c r="I70" s="478"/>
      <c r="J70" s="72"/>
      <c r="K70" s="68"/>
    </row>
    <row r="71" spans="2:12" ht="14.1" customHeight="1" x14ac:dyDescent="0.2">
      <c r="C71" s="73"/>
      <c r="D71" s="467" t="str">
        <f>ENTE!D12</f>
        <v>COORDINADOR GENERAL</v>
      </c>
      <c r="E71" s="467"/>
      <c r="F71" s="74"/>
      <c r="G71" s="100"/>
      <c r="H71" s="467" t="str">
        <f>ENTE!D16</f>
        <v>DIRECTOR DE ADMINISTRACIÓN</v>
      </c>
      <c r="I71" s="467"/>
      <c r="J71" s="72"/>
      <c r="K71" s="68"/>
    </row>
  </sheetData>
  <sheetProtection password="88C8" sheet="1" objects="1" scenarios="1" selectLockedCells="1"/>
  <mergeCells count="72">
    <mergeCell ref="C3:L3"/>
    <mergeCell ref="C4:L4"/>
    <mergeCell ref="C5:L5"/>
    <mergeCell ref="C2:L2"/>
    <mergeCell ref="D7:J7"/>
    <mergeCell ref="C10:D10"/>
    <mergeCell ref="H10:I10"/>
    <mergeCell ref="C15:D15"/>
    <mergeCell ref="H15:I15"/>
    <mergeCell ref="C13:D13"/>
    <mergeCell ref="H13:I13"/>
    <mergeCell ref="C17:D17"/>
    <mergeCell ref="H17:I17"/>
    <mergeCell ref="C18:D18"/>
    <mergeCell ref="H18:I18"/>
    <mergeCell ref="C19:D19"/>
    <mergeCell ref="H19:I19"/>
    <mergeCell ref="C20:D20"/>
    <mergeCell ref="H20:I20"/>
    <mergeCell ref="C21:D21"/>
    <mergeCell ref="H21:I21"/>
    <mergeCell ref="C31:D31"/>
    <mergeCell ref="H31:I31"/>
    <mergeCell ref="C22:D22"/>
    <mergeCell ref="H22:I22"/>
    <mergeCell ref="C23:D23"/>
    <mergeCell ref="H23:I23"/>
    <mergeCell ref="H24:I24"/>
    <mergeCell ref="C25:D25"/>
    <mergeCell ref="H26:I26"/>
    <mergeCell ref="C28:D28"/>
    <mergeCell ref="H28:I28"/>
    <mergeCell ref="C30:D30"/>
    <mergeCell ref="H30:I30"/>
    <mergeCell ref="C32:D32"/>
    <mergeCell ref="H32:I32"/>
    <mergeCell ref="C33:D33"/>
    <mergeCell ref="H33:I33"/>
    <mergeCell ref="C34:D34"/>
    <mergeCell ref="H34:I34"/>
    <mergeCell ref="H45:I45"/>
    <mergeCell ref="C35:D35"/>
    <mergeCell ref="H35:I35"/>
    <mergeCell ref="C36:D36"/>
    <mergeCell ref="C37:D37"/>
    <mergeCell ref="H37:I37"/>
    <mergeCell ref="C38:D38"/>
    <mergeCell ref="H39:I39"/>
    <mergeCell ref="C40:D40"/>
    <mergeCell ref="H41:I41"/>
    <mergeCell ref="C42:D42"/>
    <mergeCell ref="H43:I43"/>
    <mergeCell ref="H62:I62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H59:I59"/>
    <mergeCell ref="H60:I60"/>
    <mergeCell ref="D71:E71"/>
    <mergeCell ref="H71:I71"/>
    <mergeCell ref="H64:I64"/>
    <mergeCell ref="C66:K66"/>
    <mergeCell ref="D69:E69"/>
    <mergeCell ref="H69:I69"/>
    <mergeCell ref="D70:E70"/>
    <mergeCell ref="H70:I70"/>
  </mergeCells>
  <conditionalFormatting sqref="E46:E53 D48:D53">
    <cfRule type="expression" dxfId="3" priority="1">
      <formula>$F$42&lt;&gt;$K$64</formula>
    </cfRule>
    <cfRule type="expression" dxfId="2" priority="2">
      <formula>$E$42&lt;&gt;$J$64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landscape" r:id="rId1"/>
  <headerFooter>
    <oddFooter>&amp;C&amp;A&amp;RPágina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122"/>
  <sheetViews>
    <sheetView view="pageBreakPreview" zoomScale="73" zoomScaleNormal="10" zoomScaleSheetLayoutView="73" workbookViewId="0">
      <selection activeCell="H36" sqref="H36"/>
    </sheetView>
  </sheetViews>
  <sheetFormatPr baseColWidth="10" defaultRowHeight="12" x14ac:dyDescent="0.2"/>
  <cols>
    <col min="1" max="1" width="1.42578125" style="232" customWidth="1"/>
    <col min="2" max="2" width="62.5703125" style="235" customWidth="1"/>
    <col min="3" max="3" width="19" style="235" bestFit="1" customWidth="1"/>
    <col min="4" max="4" width="19.85546875" style="235" bestFit="1" customWidth="1"/>
    <col min="5" max="5" width="11.5703125" style="235" customWidth="1"/>
    <col min="6" max="6" width="68.7109375" style="235" bestFit="1" customWidth="1"/>
    <col min="7" max="7" width="27.5703125" style="235" bestFit="1" customWidth="1"/>
    <col min="8" max="8" width="19.85546875" style="235" bestFit="1" customWidth="1"/>
    <col min="9" max="9" width="1.42578125" style="232" customWidth="1"/>
    <col min="10" max="16384" width="11.42578125" style="235"/>
  </cols>
  <sheetData>
    <row r="1" spans="1:12" s="237" customFormat="1" x14ac:dyDescent="0.25">
      <c r="A1" s="236"/>
      <c r="B1" s="233"/>
      <c r="C1" s="233"/>
      <c r="D1" s="233"/>
      <c r="E1" s="233"/>
      <c r="F1" s="233"/>
      <c r="G1" s="233"/>
      <c r="H1" s="233"/>
      <c r="I1" s="236"/>
    </row>
    <row r="2" spans="1:12" s="237" customFormat="1" hidden="1" x14ac:dyDescent="0.2">
      <c r="A2" s="236"/>
      <c r="B2" s="474"/>
      <c r="C2" s="474"/>
      <c r="D2" s="474"/>
      <c r="E2" s="474"/>
      <c r="F2" s="474"/>
      <c r="G2" s="474"/>
      <c r="H2" s="474"/>
      <c r="I2" s="206"/>
      <c r="J2" s="206"/>
      <c r="K2" s="206"/>
      <c r="L2" s="206"/>
    </row>
    <row r="3" spans="1:12" s="237" customFormat="1" x14ac:dyDescent="0.25">
      <c r="A3" s="236"/>
      <c r="B3" s="484" t="s">
        <v>963</v>
      </c>
      <c r="C3" s="484"/>
      <c r="D3" s="484"/>
      <c r="E3" s="484"/>
      <c r="F3" s="484"/>
      <c r="G3" s="484"/>
      <c r="H3" s="484"/>
      <c r="I3" s="236"/>
    </row>
    <row r="4" spans="1:12" s="237" customFormat="1" x14ac:dyDescent="0.25">
      <c r="A4" s="236"/>
      <c r="B4" s="484" t="str">
        <f>"Al "&amp;TEXT(INDEX(Periodos,ENTE!D18,1),"dd")&amp;" de "&amp;TEXT(INDEX(Periodos,ENTE!D18,1),"mmmm")&amp;" de "&amp;TEXT(INDEX(Periodos,ENTE!D18,1),"aaaa")&amp;" y al 31 de diciembre de 2017"</f>
        <v>Al 31 de diciembre de 2018 y al 31 de diciembre de 2017</v>
      </c>
      <c r="C4" s="484"/>
      <c r="D4" s="484"/>
      <c r="E4" s="484"/>
      <c r="F4" s="484"/>
      <c r="G4" s="484"/>
      <c r="H4" s="484"/>
      <c r="I4" s="236"/>
    </row>
    <row r="5" spans="1:12" s="237" customFormat="1" x14ac:dyDescent="0.25">
      <c r="A5" s="236"/>
      <c r="B5" s="484" t="s">
        <v>964</v>
      </c>
      <c r="C5" s="484"/>
      <c r="D5" s="484"/>
      <c r="E5" s="484"/>
      <c r="F5" s="484"/>
      <c r="G5" s="484"/>
      <c r="H5" s="484"/>
      <c r="I5" s="236"/>
    </row>
    <row r="6" spans="1:12" s="237" customFormat="1" x14ac:dyDescent="0.25">
      <c r="A6" s="236"/>
      <c r="B6" s="339"/>
      <c r="C6" s="339"/>
      <c r="D6" s="339"/>
      <c r="E6" s="339"/>
      <c r="F6" s="339"/>
      <c r="G6" s="339"/>
      <c r="H6" s="339"/>
      <c r="I6" s="236"/>
    </row>
    <row r="7" spans="1:12" x14ac:dyDescent="0.2">
      <c r="B7" s="234" t="s">
        <v>6</v>
      </c>
      <c r="C7" s="485" t="str">
        <f>ENTE!D8</f>
        <v>UNIDAD DE SERVICIOS PARA LA EDUCACIÓN BÁSICA EN EL ESTADO DE QUERÉTARO</v>
      </c>
      <c r="D7" s="485"/>
      <c r="E7" s="485"/>
      <c r="F7" s="485"/>
      <c r="G7" s="40"/>
      <c r="H7" s="40"/>
    </row>
    <row r="8" spans="1:12" x14ac:dyDescent="0.2">
      <c r="B8" s="28"/>
      <c r="C8" s="28"/>
      <c r="D8" s="28"/>
      <c r="E8" s="28"/>
      <c r="F8" s="28"/>
      <c r="G8" s="28"/>
      <c r="H8" s="28"/>
    </row>
    <row r="9" spans="1:12" s="240" customFormat="1" ht="60" customHeight="1" x14ac:dyDescent="0.2">
      <c r="A9" s="239"/>
      <c r="B9" s="340" t="s">
        <v>962</v>
      </c>
      <c r="C9" s="410" t="str">
        <f>"Al "&amp;TEXT(INDEX(Periodos,ENTE!D18,1),"dd")&amp;" de "&amp;TEXT(INDEX(Periodos,ENTE!D18,1),"mmmm")&amp;" de "&amp;TEXT(INDEX(Periodos,ENTE!D18,1),"aaaa")&amp; " (d)"&amp;""</f>
        <v>Al 31 de diciembre de 2018 (d)</v>
      </c>
      <c r="D9" s="342" t="s">
        <v>1071</v>
      </c>
      <c r="E9" s="342"/>
      <c r="F9" s="341" t="s">
        <v>962</v>
      </c>
      <c r="G9" s="341" t="str">
        <f>"Al "&amp;TEXT(INDEX(Periodos,ENTE!D18,1),"dd")&amp;" de "&amp;TEXT(INDEX(Periodos,ENTE!D18,1),"mmmm")&amp;" de "&amp;TEXT(INDEX(Periodos,ENTE!D18,1),"aaaa")&amp; " (d)"&amp;""</f>
        <v>Al 31 de diciembre de 2018 (d)</v>
      </c>
      <c r="H9" s="343" t="s">
        <v>1071</v>
      </c>
      <c r="I9" s="239"/>
    </row>
    <row r="10" spans="1:12" ht="11.25" customHeight="1" x14ac:dyDescent="0.2">
      <c r="B10" s="344"/>
      <c r="C10" s="22"/>
      <c r="D10" s="22"/>
      <c r="E10" s="22"/>
      <c r="F10" s="22"/>
      <c r="G10" s="22"/>
      <c r="H10" s="35"/>
    </row>
    <row r="11" spans="1:12" s="232" customFormat="1" x14ac:dyDescent="0.2">
      <c r="B11" s="345"/>
      <c r="C11" s="22"/>
      <c r="D11" s="104"/>
      <c r="E11" s="104"/>
      <c r="F11" s="104"/>
      <c r="G11" s="104"/>
      <c r="H11" s="35"/>
    </row>
    <row r="12" spans="1:12" s="232" customFormat="1" x14ac:dyDescent="0.2">
      <c r="B12" s="346" t="s">
        <v>961</v>
      </c>
      <c r="C12" s="347"/>
      <c r="D12" s="347"/>
      <c r="E12" s="347"/>
      <c r="F12" s="348" t="s">
        <v>686</v>
      </c>
      <c r="G12" s="104"/>
      <c r="H12" s="349"/>
    </row>
    <row r="13" spans="1:12" s="232" customFormat="1" x14ac:dyDescent="0.2">
      <c r="B13" s="346"/>
      <c r="C13" s="347"/>
      <c r="D13" s="347"/>
      <c r="E13" s="347"/>
      <c r="F13" s="348"/>
      <c r="G13" s="104"/>
      <c r="H13" s="349"/>
    </row>
    <row r="14" spans="1:12" s="232" customFormat="1" x14ac:dyDescent="0.2">
      <c r="B14" s="350" t="s">
        <v>687</v>
      </c>
      <c r="C14" s="351"/>
      <c r="D14" s="351"/>
      <c r="E14" s="351"/>
      <c r="F14" s="352" t="s">
        <v>688</v>
      </c>
      <c r="G14" s="351"/>
      <c r="H14" s="353"/>
    </row>
    <row r="15" spans="1:12" s="232" customFormat="1" x14ac:dyDescent="0.2">
      <c r="B15" s="350"/>
      <c r="C15" s="351"/>
      <c r="D15" s="351"/>
      <c r="E15" s="351"/>
      <c r="F15" s="352"/>
      <c r="G15" s="351"/>
      <c r="H15" s="353"/>
    </row>
    <row r="16" spans="1:12" s="232" customFormat="1" x14ac:dyDescent="0.2">
      <c r="B16" s="354" t="s">
        <v>960</v>
      </c>
      <c r="C16" s="355">
        <f>SUM(C17:C23)</f>
        <v>8457282.0199999996</v>
      </c>
      <c r="D16" s="355">
        <f>SUM(D17:D23)</f>
        <v>12381117.210000001</v>
      </c>
      <c r="E16" s="355"/>
      <c r="F16" s="356" t="s">
        <v>959</v>
      </c>
      <c r="G16" s="356">
        <f>SUM(G17:G25)</f>
        <v>3523019.99</v>
      </c>
      <c r="H16" s="357">
        <f>SUM(H17:H25)</f>
        <v>5967503.6400000006</v>
      </c>
    </row>
    <row r="17" spans="2:8" s="232" customFormat="1" x14ac:dyDescent="0.2">
      <c r="B17" s="358" t="s">
        <v>958</v>
      </c>
      <c r="C17" s="359">
        <f>+SUM('BALANZA COMPROBACION'!H11:H12)</f>
        <v>0</v>
      </c>
      <c r="D17" s="359">
        <f>+SUM('BALANZA COMPROBACION'!E11:E12)</f>
        <v>0</v>
      </c>
      <c r="E17" s="359"/>
      <c r="F17" s="359" t="s">
        <v>957</v>
      </c>
      <c r="G17" s="359">
        <f>-SUM('BALANZA COMPROBACION'!H287:H292)</f>
        <v>1060086.75</v>
      </c>
      <c r="H17" s="360">
        <f>-SUM('BALANZA COMPROBACION'!E287:E292)</f>
        <v>2842443.49</v>
      </c>
    </row>
    <row r="18" spans="2:8" s="232" customFormat="1" x14ac:dyDescent="0.2">
      <c r="B18" s="358" t="s">
        <v>956</v>
      </c>
      <c r="C18" s="359">
        <f>+SUM('BALANZA COMPROBACION'!H13:H14)</f>
        <v>8252282.0199999996</v>
      </c>
      <c r="D18" s="359">
        <f>+SUM('BALANZA COMPROBACION'!E13:E14)</f>
        <v>12181117.210000001</v>
      </c>
      <c r="E18" s="359"/>
      <c r="F18" s="359" t="s">
        <v>955</v>
      </c>
      <c r="G18" s="359">
        <f>-SUM('BALANZA COMPROBACION'!H293:H295)</f>
        <v>0</v>
      </c>
      <c r="H18" s="360">
        <f>-SUM('BALANZA COMPROBACION'!E293:E295)</f>
        <v>0</v>
      </c>
    </row>
    <row r="19" spans="2:8" s="232" customFormat="1" x14ac:dyDescent="0.2">
      <c r="B19" s="358" t="s">
        <v>954</v>
      </c>
      <c r="C19" s="359">
        <f>+SUM('BALANZA COMPROBACION'!H15:H16)</f>
        <v>0</v>
      </c>
      <c r="D19" s="359">
        <f>+SUM('BALANZA COMPROBACION'!E15:E16)</f>
        <v>0</v>
      </c>
      <c r="E19" s="359"/>
      <c r="F19" s="359" t="s">
        <v>953</v>
      </c>
      <c r="G19" s="359">
        <f>-SUM('BALANZA COMPROBACION'!H296:H297)</f>
        <v>0</v>
      </c>
      <c r="H19" s="360">
        <f>-SUM('BALANZA COMPROBACION'!E296:E297)</f>
        <v>0</v>
      </c>
    </row>
    <row r="20" spans="2:8" s="232" customFormat="1" x14ac:dyDescent="0.2">
      <c r="B20" s="358" t="s">
        <v>952</v>
      </c>
      <c r="C20" s="359">
        <f>+SUM('BALANZA COMPROBACION'!H17:H18)</f>
        <v>0</v>
      </c>
      <c r="D20" s="359">
        <f>+SUM('BALANZA COMPROBACION'!E17:E18)</f>
        <v>0</v>
      </c>
      <c r="E20" s="359"/>
      <c r="F20" s="359" t="s">
        <v>951</v>
      </c>
      <c r="G20" s="359">
        <f>-SUM('BALANZA COMPROBACION'!H298:H300)</f>
        <v>0</v>
      </c>
      <c r="H20" s="360">
        <f>-SUM('BALANZA COMPROBACION'!E298:E300)</f>
        <v>0</v>
      </c>
    </row>
    <row r="21" spans="2:8" s="232" customFormat="1" x14ac:dyDescent="0.2">
      <c r="B21" s="361" t="s">
        <v>950</v>
      </c>
      <c r="C21" s="359">
        <f>+SUM('BALANZA COMPROBACION'!H19)</f>
        <v>205000</v>
      </c>
      <c r="D21" s="359">
        <f>+SUM('BALANZA COMPROBACION'!E19)</f>
        <v>200000</v>
      </c>
      <c r="E21" s="359"/>
      <c r="F21" s="359" t="s">
        <v>949</v>
      </c>
      <c r="G21" s="359">
        <f>-SUM('BALANZA COMPROBACION'!H301:H307)</f>
        <v>4510.08</v>
      </c>
      <c r="H21" s="360">
        <f>-SUM('BALANZA COMPROBACION'!E301:E307)</f>
        <v>96.19</v>
      </c>
    </row>
    <row r="22" spans="2:8" s="232" customFormat="1" x14ac:dyDescent="0.2">
      <c r="B22" s="358" t="s">
        <v>948</v>
      </c>
      <c r="C22" s="359">
        <f>+SUM('BALANZA COMPROBACION'!H20:H24)</f>
        <v>0</v>
      </c>
      <c r="D22" s="359">
        <f>+SUM('BALANZA COMPROBACION'!E20:E24)</f>
        <v>0</v>
      </c>
      <c r="E22" s="359"/>
      <c r="F22" s="359" t="s">
        <v>947</v>
      </c>
      <c r="G22" s="359">
        <f>-SUM('BALANZA COMPROBACION'!H308:H316)</f>
        <v>0</v>
      </c>
      <c r="H22" s="360">
        <f>-SUM('BALANZA COMPROBACION'!E308:E316)</f>
        <v>0</v>
      </c>
    </row>
    <row r="23" spans="2:8" s="232" customFormat="1" x14ac:dyDescent="0.2">
      <c r="B23" s="358" t="s">
        <v>946</v>
      </c>
      <c r="C23" s="359">
        <f>+SUM('BALANZA COMPROBACION'!H25)</f>
        <v>0</v>
      </c>
      <c r="D23" s="359">
        <f>+SUM('BALANZA COMPROBACION'!E25)</f>
        <v>0</v>
      </c>
      <c r="E23" s="359"/>
      <c r="F23" s="359" t="s">
        <v>945</v>
      </c>
      <c r="G23" s="359">
        <f>-SUM('BALANZA COMPROBACION'!H317:H322)</f>
        <v>940740.73</v>
      </c>
      <c r="H23" s="360">
        <f>-SUM('BALANZA COMPROBACION'!E317:E322)</f>
        <v>827376.38</v>
      </c>
    </row>
    <row r="24" spans="2:8" s="232" customFormat="1" x14ac:dyDescent="0.2">
      <c r="B24" s="354" t="s">
        <v>944</v>
      </c>
      <c r="C24" s="355">
        <f>SUM(C25:C31)</f>
        <v>341051.93</v>
      </c>
      <c r="D24" s="355">
        <f>SUM(D25:D31)</f>
        <v>4294114.1099999994</v>
      </c>
      <c r="E24" s="355"/>
      <c r="F24" s="359" t="s">
        <v>943</v>
      </c>
      <c r="G24" s="359">
        <f>-SUM('BALANZA COMPROBACION'!H323)</f>
        <v>0</v>
      </c>
      <c r="H24" s="360">
        <f>-SUM('BALANZA COMPROBACION'!E323)</f>
        <v>0</v>
      </c>
    </row>
    <row r="25" spans="2:8" s="232" customFormat="1" x14ac:dyDescent="0.2">
      <c r="B25" s="358" t="s">
        <v>942</v>
      </c>
      <c r="C25" s="359">
        <f>+SUM('BALANZA COMPROBACION'!H26:H28)</f>
        <v>0</v>
      </c>
      <c r="D25" s="359">
        <f>+SUM('BALANZA COMPROBACION'!E26:E28)</f>
        <v>0</v>
      </c>
      <c r="E25" s="359"/>
      <c r="F25" s="359" t="s">
        <v>941</v>
      </c>
      <c r="G25" s="359">
        <f>-SUM('BALANZA COMPROBACION'!H324:H331)</f>
        <v>1517682.43</v>
      </c>
      <c r="H25" s="360">
        <f>-SUM('BALANZA COMPROBACION'!E324:E331)</f>
        <v>2297587.58</v>
      </c>
    </row>
    <row r="26" spans="2:8" s="232" customFormat="1" x14ac:dyDescent="0.2">
      <c r="B26" s="358" t="s">
        <v>940</v>
      </c>
      <c r="C26" s="359">
        <f>+SUM('BALANZA COMPROBACION'!H29:H37)</f>
        <v>0</v>
      </c>
      <c r="D26" s="359">
        <f>+SUM('BALANZA COMPROBACION'!E29:E37)</f>
        <v>0</v>
      </c>
      <c r="E26" s="359"/>
      <c r="F26" s="356" t="s">
        <v>939</v>
      </c>
      <c r="G26" s="356">
        <f>SUM(G27:G29)</f>
        <v>0</v>
      </c>
      <c r="H26" s="357">
        <f>SUM(H27:H29)</f>
        <v>3328850.88</v>
      </c>
    </row>
    <row r="27" spans="2:8" s="232" customFormat="1" x14ac:dyDescent="0.2">
      <c r="B27" s="358" t="s">
        <v>938</v>
      </c>
      <c r="C27" s="359">
        <f>+SUM('BALANZA COMPROBACION'!H38:H39)</f>
        <v>142998.38</v>
      </c>
      <c r="D27" s="359">
        <f>+SUM('BALANZA COMPROBACION'!E38:E39)</f>
        <v>3587045.65</v>
      </c>
      <c r="E27" s="359"/>
      <c r="F27" s="359" t="s">
        <v>937</v>
      </c>
      <c r="G27" s="359">
        <f>-SUM('BALANZA COMPROBACION'!H332:H334)</f>
        <v>0</v>
      </c>
      <c r="H27" s="360">
        <f>-SUM('BALANZA COMPROBACION'!E332:E334)</f>
        <v>0</v>
      </c>
    </row>
    <row r="28" spans="2:8" s="232" customFormat="1" x14ac:dyDescent="0.2">
      <c r="B28" s="358" t="s">
        <v>936</v>
      </c>
      <c r="C28" s="359">
        <f>+SUM('BALANZA COMPROBACION'!H40:H48)</f>
        <v>0</v>
      </c>
      <c r="D28" s="359">
        <f>+SUM('BALANZA COMPROBACION'!E40:E48)</f>
        <v>0</v>
      </c>
      <c r="E28" s="359"/>
      <c r="F28" s="359" t="s">
        <v>935</v>
      </c>
      <c r="G28" s="359">
        <f>-SUM('BALANZA COMPROBACION'!H335:H336)</f>
        <v>0</v>
      </c>
      <c r="H28" s="360">
        <f>-SUM('BALANZA COMPROBACION'!E335:E336)</f>
        <v>0</v>
      </c>
    </row>
    <row r="29" spans="2:8" s="232" customFormat="1" x14ac:dyDescent="0.2">
      <c r="B29" s="358" t="s">
        <v>934</v>
      </c>
      <c r="C29" s="359">
        <f>+SUM('BALANZA COMPROBACION'!H49:H52)</f>
        <v>0</v>
      </c>
      <c r="D29" s="359">
        <f>+SUM('BALANZA COMPROBACION'!E49:E52)</f>
        <v>0</v>
      </c>
      <c r="E29" s="359"/>
      <c r="F29" s="359" t="s">
        <v>933</v>
      </c>
      <c r="G29" s="359">
        <f>-SUM('BALANZA COMPROBACION'!H337)</f>
        <v>0</v>
      </c>
      <c r="H29" s="360">
        <f>-SUM('BALANZA COMPROBACION'!E337)</f>
        <v>3328850.88</v>
      </c>
    </row>
    <row r="30" spans="2:8" s="232" customFormat="1" x14ac:dyDescent="0.2">
      <c r="B30" s="358" t="s">
        <v>932</v>
      </c>
      <c r="C30" s="359">
        <f>+SUM('BALANZA COMPROBACION'!H53:H55)</f>
        <v>0</v>
      </c>
      <c r="D30" s="359">
        <f>+SUM('BALANZA COMPROBACION'!E53:E55)</f>
        <v>0</v>
      </c>
      <c r="E30" s="359"/>
      <c r="F30" s="356" t="s">
        <v>931</v>
      </c>
      <c r="G30" s="356">
        <f>SUM(G31:G32)</f>
        <v>0</v>
      </c>
      <c r="H30" s="357">
        <f>SUM(H31:H32)</f>
        <v>0</v>
      </c>
    </row>
    <row r="31" spans="2:8" s="232" customFormat="1" x14ac:dyDescent="0.2">
      <c r="B31" s="358" t="s">
        <v>930</v>
      </c>
      <c r="C31" s="359">
        <f>+SUM('BALANZA COMPROBACION'!H56)</f>
        <v>198053.55</v>
      </c>
      <c r="D31" s="359">
        <f>+SUM('BALANZA COMPROBACION'!E56)</f>
        <v>707068.46</v>
      </c>
      <c r="E31" s="359"/>
      <c r="F31" s="359" t="s">
        <v>929</v>
      </c>
      <c r="G31" s="359">
        <f>-SUM('BALANZA COMPROBACION'!H338:H341)</f>
        <v>0</v>
      </c>
      <c r="H31" s="360">
        <f>-SUM('BALANZA COMPROBACION'!E338:E341)</f>
        <v>0</v>
      </c>
    </row>
    <row r="32" spans="2:8" s="232" customFormat="1" x14ac:dyDescent="0.2">
      <c r="B32" s="354" t="s">
        <v>928</v>
      </c>
      <c r="C32" s="356">
        <f>SUM(C33:C37)</f>
        <v>0</v>
      </c>
      <c r="D32" s="356">
        <f>SUM(D33:D37)</f>
        <v>0</v>
      </c>
      <c r="E32" s="356"/>
      <c r="F32" s="359" t="s">
        <v>927</v>
      </c>
      <c r="G32" s="359">
        <f>-SUM('BALANZA COMPROBACION'!H342:H343)</f>
        <v>0</v>
      </c>
      <c r="H32" s="360">
        <f>-SUM('BALANZA COMPROBACION'!E342:E343)</f>
        <v>0</v>
      </c>
    </row>
    <row r="33" spans="2:8" s="232" customFormat="1" ht="24" x14ac:dyDescent="0.2">
      <c r="B33" s="361" t="s">
        <v>926</v>
      </c>
      <c r="C33" s="359">
        <f>+SUM('BALANZA COMPROBACION'!H57:H58)</f>
        <v>0</v>
      </c>
      <c r="D33" s="359">
        <f>+SUM('BALANZA COMPROBACION'!E57:E58)</f>
        <v>0</v>
      </c>
      <c r="E33" s="359"/>
      <c r="F33" s="356" t="s">
        <v>925</v>
      </c>
      <c r="G33" s="356">
        <f>-SUM('BALANZA COMPROBACION'!H344:H345)</f>
        <v>0</v>
      </c>
      <c r="H33" s="357">
        <f>-SUM('BALANZA COMPROBACION'!E344:E345)</f>
        <v>0</v>
      </c>
    </row>
    <row r="34" spans="2:8" s="232" customFormat="1" x14ac:dyDescent="0.2">
      <c r="B34" s="358" t="s">
        <v>924</v>
      </c>
      <c r="C34" s="359">
        <f>+SUM('BALANZA COMPROBACION'!H59:H60)</f>
        <v>0</v>
      </c>
      <c r="D34" s="359">
        <f>+SUM('BALANZA COMPROBACION'!E59:E60)</f>
        <v>0</v>
      </c>
      <c r="E34" s="359"/>
      <c r="F34" s="356" t="s">
        <v>923</v>
      </c>
      <c r="G34" s="356">
        <f>SUM(G35:G37)</f>
        <v>0</v>
      </c>
      <c r="H34" s="357">
        <f>SUM(H35:H37)</f>
        <v>0</v>
      </c>
    </row>
    <row r="35" spans="2:8" s="232" customFormat="1" x14ac:dyDescent="0.2">
      <c r="B35" s="358" t="s">
        <v>922</v>
      </c>
      <c r="C35" s="359">
        <f>+SUM('BALANZA COMPROBACION'!H61)</f>
        <v>0</v>
      </c>
      <c r="D35" s="359">
        <f>+SUM('BALANZA COMPROBACION'!E61)</f>
        <v>0</v>
      </c>
      <c r="E35" s="359"/>
      <c r="F35" s="359" t="s">
        <v>921</v>
      </c>
      <c r="G35" s="359">
        <f>-SUM('BALANZA COMPROBACION'!H346)</f>
        <v>0</v>
      </c>
      <c r="H35" s="360">
        <f>-SUM('BALANZA COMPROBACION'!E346)</f>
        <v>0</v>
      </c>
    </row>
    <row r="36" spans="2:8" s="232" customFormat="1" x14ac:dyDescent="0.2">
      <c r="B36" s="358" t="s">
        <v>920</v>
      </c>
      <c r="C36" s="359">
        <f>+SUM('BALANZA COMPROBACION'!H62:H63)</f>
        <v>0</v>
      </c>
      <c r="D36" s="359">
        <f>+SUM('BALANZA COMPROBACION'!E62:E63)</f>
        <v>0</v>
      </c>
      <c r="E36" s="359"/>
      <c r="F36" s="359" t="s">
        <v>919</v>
      </c>
      <c r="G36" s="359">
        <f>-SUM('BALANZA COMPROBACION'!H347)</f>
        <v>0</v>
      </c>
      <c r="H36" s="360">
        <f>-SUM('BALANZA COMPROBACION'!E347)</f>
        <v>0</v>
      </c>
    </row>
    <row r="37" spans="2:8" s="232" customFormat="1" x14ac:dyDescent="0.2">
      <c r="B37" s="358" t="s">
        <v>918</v>
      </c>
      <c r="C37" s="359">
        <f>+SUM('BALANZA COMPROBACION'!H64)</f>
        <v>0</v>
      </c>
      <c r="D37" s="359">
        <f>+SUM('BALANZA COMPROBACION'!E64)</f>
        <v>0</v>
      </c>
      <c r="E37" s="359"/>
      <c r="F37" s="359" t="s">
        <v>917</v>
      </c>
      <c r="G37" s="359">
        <f>-SUM('BALANZA COMPROBACION'!H348)</f>
        <v>0</v>
      </c>
      <c r="H37" s="360">
        <f>-SUM('BALANZA COMPROBACION'!E348)</f>
        <v>0</v>
      </c>
    </row>
    <row r="38" spans="2:8" s="236" customFormat="1" ht="24" x14ac:dyDescent="0.25">
      <c r="B38" s="362" t="s">
        <v>916</v>
      </c>
      <c r="C38" s="363">
        <f>SUM(C39:C43)</f>
        <v>0</v>
      </c>
      <c r="D38" s="363">
        <f>SUM(D39:D43)</f>
        <v>0</v>
      </c>
      <c r="E38" s="363"/>
      <c r="F38" s="363" t="s">
        <v>915</v>
      </c>
      <c r="G38" s="363">
        <f>SUM(G39:G44)</f>
        <v>0</v>
      </c>
      <c r="H38" s="364">
        <f>SUM(H39:H44)</f>
        <v>0</v>
      </c>
    </row>
    <row r="39" spans="2:8" s="232" customFormat="1" x14ac:dyDescent="0.2">
      <c r="B39" s="358" t="s">
        <v>914</v>
      </c>
      <c r="C39" s="359">
        <f>+SUM('BALANZA COMPROBACION'!H65)</f>
        <v>0</v>
      </c>
      <c r="D39" s="359">
        <f>+SUM('BALANZA COMPROBACION'!E65)</f>
        <v>0</v>
      </c>
      <c r="E39" s="359"/>
      <c r="F39" s="359" t="s">
        <v>913</v>
      </c>
      <c r="G39" s="359">
        <f>-SUM('BALANZA COMPROBACION'!H349)</f>
        <v>0</v>
      </c>
      <c r="H39" s="360">
        <f>-SUM('BALANZA COMPROBACION'!E349)</f>
        <v>0</v>
      </c>
    </row>
    <row r="40" spans="2:8" s="232" customFormat="1" x14ac:dyDescent="0.2">
      <c r="B40" s="358" t="s">
        <v>912</v>
      </c>
      <c r="C40" s="359">
        <f>+SUM('BALANZA COMPROBACION'!H66:H73)</f>
        <v>0</v>
      </c>
      <c r="D40" s="359">
        <f>+SUM('BALANZA COMPROBACION'!E66:E73)</f>
        <v>0</v>
      </c>
      <c r="E40" s="359"/>
      <c r="F40" s="359" t="s">
        <v>911</v>
      </c>
      <c r="G40" s="359">
        <f>-'BALANZA COMPROBACION'!H350</f>
        <v>0</v>
      </c>
      <c r="H40" s="360">
        <f>-'BALANZA COMPROBACION'!E350</f>
        <v>0</v>
      </c>
    </row>
    <row r="41" spans="2:8" s="232" customFormat="1" x14ac:dyDescent="0.2">
      <c r="B41" s="358" t="s">
        <v>910</v>
      </c>
      <c r="C41" s="359">
        <f>+SUM('BALANZA COMPROBACION'!H74:H81)</f>
        <v>0</v>
      </c>
      <c r="D41" s="359">
        <f>+SUM('BALANZA COMPROBACION'!E74:E81)</f>
        <v>0</v>
      </c>
      <c r="E41" s="359"/>
      <c r="F41" s="359" t="s">
        <v>909</v>
      </c>
      <c r="G41" s="359">
        <f>-'BALANZA COMPROBACION'!H351</f>
        <v>0</v>
      </c>
      <c r="H41" s="360">
        <f>-'BALANZA COMPROBACION'!E351</f>
        <v>0</v>
      </c>
    </row>
    <row r="42" spans="2:8" s="232" customFormat="1" x14ac:dyDescent="0.2">
      <c r="B42" s="358" t="s">
        <v>908</v>
      </c>
      <c r="C42" s="359">
        <f>+SUM('BALANZA COMPROBACION'!H82:H89)</f>
        <v>0</v>
      </c>
      <c r="D42" s="359">
        <f>+SUM('BALANZA COMPROBACION'!E82:E89)</f>
        <v>0</v>
      </c>
      <c r="E42" s="359"/>
      <c r="F42" s="359" t="s">
        <v>907</v>
      </c>
      <c r="G42" s="359">
        <f>-'BALANZA COMPROBACION'!H352</f>
        <v>0</v>
      </c>
      <c r="H42" s="360">
        <f>-'BALANZA COMPROBACION'!E352</f>
        <v>0</v>
      </c>
    </row>
    <row r="43" spans="2:8" s="232" customFormat="1" x14ac:dyDescent="0.2">
      <c r="B43" s="358" t="s">
        <v>906</v>
      </c>
      <c r="C43" s="359">
        <f>+SUM('BALANZA COMPROBACION'!H90:H93)</f>
        <v>0</v>
      </c>
      <c r="D43" s="359">
        <f>+SUM('BALANZA COMPROBACION'!E90:E93)</f>
        <v>0</v>
      </c>
      <c r="E43" s="359"/>
      <c r="F43" s="359" t="s">
        <v>905</v>
      </c>
      <c r="G43" s="359">
        <f>-'BALANZA COMPROBACION'!H353</f>
        <v>0</v>
      </c>
      <c r="H43" s="360">
        <f>-'BALANZA COMPROBACION'!E353</f>
        <v>0</v>
      </c>
    </row>
    <row r="44" spans="2:8" s="232" customFormat="1" x14ac:dyDescent="0.2">
      <c r="B44" s="354" t="s">
        <v>904</v>
      </c>
      <c r="C44" s="363">
        <f>+SUM('BALANZA COMPROBACION'!H94:H101)</f>
        <v>21481391.219999999</v>
      </c>
      <c r="D44" s="363">
        <f>+SUM('BALANZA COMPROBACION'!E94:E101)</f>
        <v>3437142.63</v>
      </c>
      <c r="E44" s="363"/>
      <c r="F44" s="359" t="s">
        <v>903</v>
      </c>
      <c r="G44" s="359">
        <f>-SUM('BALANZA COMPROBACION'!H354:H355)</f>
        <v>0</v>
      </c>
      <c r="H44" s="360">
        <f>-SUM('BALANZA COMPROBACION'!E354:E355)</f>
        <v>0</v>
      </c>
    </row>
    <row r="45" spans="2:8" s="232" customFormat="1" x14ac:dyDescent="0.2">
      <c r="B45" s="354" t="s">
        <v>902</v>
      </c>
      <c r="C45" s="356">
        <f>SUM(C46:C47)</f>
        <v>0</v>
      </c>
      <c r="D45" s="356">
        <f>SUM(D46:D47)</f>
        <v>0</v>
      </c>
      <c r="E45" s="356"/>
      <c r="F45" s="356" t="s">
        <v>901</v>
      </c>
      <c r="G45" s="356">
        <f>SUM(G46:G48)</f>
        <v>0</v>
      </c>
      <c r="H45" s="357">
        <f>SUM(H46:H48)</f>
        <v>0</v>
      </c>
    </row>
    <row r="46" spans="2:8" s="232" customFormat="1" ht="24" x14ac:dyDescent="0.2">
      <c r="B46" s="361" t="s">
        <v>900</v>
      </c>
      <c r="C46" s="359">
        <f>+SUM('BALANZA COMPROBACION'!H102:H106)</f>
        <v>0</v>
      </c>
      <c r="D46" s="359">
        <f>+SUM('BALANZA COMPROBACION'!E102:E106)</f>
        <v>0</v>
      </c>
      <c r="E46" s="359"/>
      <c r="F46" s="359" t="s">
        <v>899</v>
      </c>
      <c r="G46" s="359">
        <f>-'BALANZA COMPROBACION'!H356</f>
        <v>0</v>
      </c>
      <c r="H46" s="360">
        <f>-'BALANZA COMPROBACION'!E356</f>
        <v>0</v>
      </c>
    </row>
    <row r="47" spans="2:8" s="232" customFormat="1" x14ac:dyDescent="0.2">
      <c r="B47" s="358" t="s">
        <v>898</v>
      </c>
      <c r="C47" s="359">
        <f>+SUM('BALANZA COMPROBACION'!H107:H111)</f>
        <v>0</v>
      </c>
      <c r="D47" s="359">
        <f>+SUM('BALANZA COMPROBACION'!E107:E111)</f>
        <v>0</v>
      </c>
      <c r="E47" s="359"/>
      <c r="F47" s="359" t="s">
        <v>897</v>
      </c>
      <c r="G47" s="359">
        <f>-'BALANZA COMPROBACION'!H357</f>
        <v>0</v>
      </c>
      <c r="H47" s="360">
        <f>-'BALANZA COMPROBACION'!E357</f>
        <v>0</v>
      </c>
    </row>
    <row r="48" spans="2:8" s="232" customFormat="1" x14ac:dyDescent="0.2">
      <c r="B48" s="354" t="s">
        <v>896</v>
      </c>
      <c r="C48" s="356">
        <f>SUM(C49:C52)</f>
        <v>0</v>
      </c>
      <c r="D48" s="356">
        <f>SUM(D49:D52)</f>
        <v>0</v>
      </c>
      <c r="E48" s="356"/>
      <c r="F48" s="359" t="s">
        <v>895</v>
      </c>
      <c r="G48" s="359">
        <f>-'BALANZA COMPROBACION'!H358</f>
        <v>0</v>
      </c>
      <c r="H48" s="360">
        <f>-'BALANZA COMPROBACION'!E358</f>
        <v>0</v>
      </c>
    </row>
    <row r="49" spans="1:9" s="232" customFormat="1" x14ac:dyDescent="0.2">
      <c r="B49" s="358" t="s">
        <v>894</v>
      </c>
      <c r="C49" s="359">
        <f>+SUM('BALANZA COMPROBACION'!H112)</f>
        <v>0</v>
      </c>
      <c r="D49" s="359">
        <f>+SUM('BALANZA COMPROBACION'!E112)</f>
        <v>0</v>
      </c>
      <c r="E49" s="359"/>
      <c r="F49" s="356" t="s">
        <v>893</v>
      </c>
      <c r="G49" s="356">
        <f>SUM(G50:G52)</f>
        <v>0</v>
      </c>
      <c r="H49" s="357">
        <f>SUM(H50:H52)</f>
        <v>0</v>
      </c>
    </row>
    <row r="50" spans="1:9" s="232" customFormat="1" x14ac:dyDescent="0.2">
      <c r="B50" s="358" t="s">
        <v>892</v>
      </c>
      <c r="C50" s="359">
        <f>+SUM('BALANZA COMPROBACION'!H113)</f>
        <v>0</v>
      </c>
      <c r="D50" s="359">
        <f>+SUM('BALANZA COMPROBACION'!E113)</f>
        <v>0</v>
      </c>
      <c r="E50" s="359"/>
      <c r="F50" s="359" t="s">
        <v>891</v>
      </c>
      <c r="G50" s="359">
        <f>-'BALANZA COMPROBACION'!H359</f>
        <v>0</v>
      </c>
      <c r="H50" s="360">
        <f>-'BALANZA COMPROBACION'!E359</f>
        <v>0</v>
      </c>
    </row>
    <row r="51" spans="1:9" s="232" customFormat="1" ht="24" x14ac:dyDescent="0.2">
      <c r="B51" s="361" t="s">
        <v>890</v>
      </c>
      <c r="C51" s="359">
        <f>+SUM('BALANZA COMPROBACION'!H114:H117)</f>
        <v>0</v>
      </c>
      <c r="D51" s="359">
        <f>+SUM('BALANZA COMPROBACION'!E114:E117)</f>
        <v>0</v>
      </c>
      <c r="E51" s="359"/>
      <c r="F51" s="359" t="s">
        <v>889</v>
      </c>
      <c r="G51" s="359">
        <f>-'BALANZA COMPROBACION'!H360</f>
        <v>0</v>
      </c>
      <c r="H51" s="360">
        <f>-'BALANZA COMPROBACION'!E360</f>
        <v>0</v>
      </c>
    </row>
    <row r="52" spans="1:9" s="232" customFormat="1" x14ac:dyDescent="0.2">
      <c r="B52" s="358" t="s">
        <v>888</v>
      </c>
      <c r="C52" s="359">
        <f>+SUM('BALANZA COMPROBACION'!H118:H123)</f>
        <v>0</v>
      </c>
      <c r="D52" s="359">
        <f>+SUM('BALANZA COMPROBACION'!E118:E123)</f>
        <v>0</v>
      </c>
      <c r="E52" s="359"/>
      <c r="F52" s="359" t="s">
        <v>887</v>
      </c>
      <c r="G52" s="359">
        <f>-'BALANZA COMPROBACION'!H361</f>
        <v>0</v>
      </c>
      <c r="H52" s="360">
        <f>-'BALANZA COMPROBACION'!E361</f>
        <v>0</v>
      </c>
    </row>
    <row r="53" spans="1:9" x14ac:dyDescent="0.2">
      <c r="A53" s="241"/>
      <c r="B53" s="358"/>
      <c r="C53" s="359"/>
      <c r="D53" s="359"/>
      <c r="E53" s="359"/>
      <c r="F53" s="359"/>
      <c r="G53" s="359"/>
      <c r="H53" s="360"/>
    </row>
    <row r="54" spans="1:9" s="243" customFormat="1" x14ac:dyDescent="0.2">
      <c r="A54" s="241"/>
      <c r="B54" s="365"/>
      <c r="C54" s="366"/>
      <c r="D54" s="366"/>
      <c r="E54" s="366"/>
      <c r="F54" s="367"/>
      <c r="G54" s="366"/>
      <c r="H54" s="368"/>
      <c r="I54" s="232"/>
    </row>
    <row r="55" spans="1:9" x14ac:dyDescent="0.2">
      <c r="A55" s="241"/>
      <c r="B55" s="369"/>
      <c r="C55" s="359"/>
      <c r="D55" s="359"/>
      <c r="E55" s="359"/>
      <c r="F55" s="359"/>
      <c r="G55" s="359"/>
      <c r="H55" s="359"/>
    </row>
    <row r="56" spans="1:9" x14ac:dyDescent="0.2">
      <c r="B56" s="370"/>
      <c r="C56" s="370"/>
      <c r="D56" s="370"/>
      <c r="E56" s="370"/>
      <c r="F56" s="370"/>
      <c r="G56" s="370"/>
      <c r="H56" s="370"/>
    </row>
    <row r="57" spans="1:9" x14ac:dyDescent="0.2">
      <c r="B57" s="371"/>
      <c r="C57" s="371"/>
      <c r="D57" s="371"/>
      <c r="E57" s="371"/>
      <c r="F57" s="371"/>
      <c r="G57" s="371"/>
      <c r="H57" s="371"/>
    </row>
    <row r="58" spans="1:9" ht="11.25" hidden="1" customHeight="1" x14ac:dyDescent="0.2">
      <c r="B58" s="474"/>
      <c r="C58" s="474"/>
      <c r="D58" s="474"/>
      <c r="E58" s="474"/>
      <c r="F58" s="474"/>
      <c r="G58" s="474"/>
      <c r="H58" s="474"/>
    </row>
    <row r="59" spans="1:9" ht="11.25" customHeight="1" x14ac:dyDescent="0.2">
      <c r="B59" s="484" t="s">
        <v>963</v>
      </c>
      <c r="C59" s="484"/>
      <c r="D59" s="484"/>
      <c r="E59" s="484"/>
      <c r="F59" s="484"/>
      <c r="G59" s="484"/>
      <c r="H59" s="484"/>
    </row>
    <row r="60" spans="1:9" ht="11.25" customHeight="1" x14ac:dyDescent="0.2">
      <c r="B60" s="484" t="str">
        <f>"Al "&amp;TEXT(INDEX(Periodos,ENTE!D18,1),"dd")&amp;" de "&amp;TEXT(INDEX(Periodos,ENTE!D18,1),"mmmm")&amp;" de "&amp;TEXT(INDEX(Periodos,ENTE!D18,1),"aaaa")&amp;" y al 31 de diciembre de 2017"</f>
        <v>Al 31 de diciembre de 2018 y al 31 de diciembre de 2017</v>
      </c>
      <c r="C60" s="484"/>
      <c r="D60" s="484"/>
      <c r="E60" s="484"/>
      <c r="F60" s="484"/>
      <c r="G60" s="484"/>
      <c r="H60" s="484"/>
    </row>
    <row r="61" spans="1:9" ht="11.25" customHeight="1" x14ac:dyDescent="0.2">
      <c r="B61" s="487" t="s">
        <v>624</v>
      </c>
      <c r="C61" s="487"/>
      <c r="D61" s="487"/>
      <c r="E61" s="487"/>
      <c r="F61" s="487"/>
      <c r="G61" s="487"/>
      <c r="H61" s="487"/>
    </row>
    <row r="62" spans="1:9" x14ac:dyDescent="0.2">
      <c r="B62" s="371"/>
      <c r="C62" s="371"/>
      <c r="D62" s="371"/>
      <c r="E62" s="371"/>
      <c r="F62" s="371"/>
      <c r="G62" s="371"/>
      <c r="H62" s="371"/>
    </row>
    <row r="63" spans="1:9" x14ac:dyDescent="0.2">
      <c r="B63" s="333" t="s">
        <v>6</v>
      </c>
      <c r="C63" s="486" t="str">
        <f>+ENTE!D8</f>
        <v>UNIDAD DE SERVICIOS PARA LA EDUCACIÓN BÁSICA EN EL ESTADO DE QUERÉTARO</v>
      </c>
      <c r="D63" s="486"/>
      <c r="E63" s="486"/>
      <c r="F63" s="486"/>
      <c r="G63" s="371"/>
      <c r="H63" s="371"/>
    </row>
    <row r="64" spans="1:9" x14ac:dyDescent="0.2">
      <c r="B64" s="371"/>
      <c r="C64" s="371"/>
      <c r="D64" s="371"/>
      <c r="E64" s="371"/>
      <c r="F64" s="371"/>
      <c r="G64" s="371"/>
      <c r="H64" s="371"/>
    </row>
    <row r="65" spans="2:8" ht="60" customHeight="1" x14ac:dyDescent="0.2">
      <c r="B65" s="372" t="s">
        <v>962</v>
      </c>
      <c r="C65" s="410" t="str">
        <f>"Al "&amp;TEXT(INDEX(Periodos,ENTE!D18,1),"dd")&amp;" de "&amp;TEXT(INDEX(Periodos,ENTE!D18,1),"mmmm")&amp;" de "&amp;TEXT(INDEX(Periodos,ENTE!D18,1),"aaaa")&amp; " (d)"&amp;""</f>
        <v>Al 31 de diciembre de 2018 (d)</v>
      </c>
      <c r="D65" s="342" t="s">
        <v>1071</v>
      </c>
      <c r="E65" s="374"/>
      <c r="F65" s="373" t="s">
        <v>962</v>
      </c>
      <c r="G65" s="410" t="str">
        <f>"Al "&amp;TEXT(INDEX(Periodos,ENTE!D18,1),"dd")&amp;" de "&amp;TEXT(INDEX(Periodos,ENTE!D18,1),"mmmm")&amp;" de "&amp;TEXT(INDEX(Periodos,ENTE!D18,1),"aaaa")&amp; " (d)"&amp;""</f>
        <v>Al 31 de diciembre de 2018 (d)</v>
      </c>
      <c r="H65" s="342" t="s">
        <v>1071</v>
      </c>
    </row>
    <row r="66" spans="2:8" x14ac:dyDescent="0.2">
      <c r="B66" s="358"/>
      <c r="C66" s="359"/>
      <c r="D66" s="375"/>
      <c r="E66" s="375"/>
      <c r="F66" s="375"/>
      <c r="G66" s="375"/>
      <c r="H66" s="376"/>
    </row>
    <row r="67" spans="2:8" s="238" customFormat="1" x14ac:dyDescent="0.2">
      <c r="B67" s="377" t="s">
        <v>886</v>
      </c>
      <c r="C67" s="363">
        <f>+C16+C24+C32+C38++C44+C45+C48</f>
        <v>30279725.169999998</v>
      </c>
      <c r="D67" s="363">
        <f>+D16+D24+D32+D38++D44+D45+D48</f>
        <v>20112373.949999999</v>
      </c>
      <c r="E67" s="363"/>
      <c r="F67" s="378" t="s">
        <v>885</v>
      </c>
      <c r="G67" s="363">
        <f>+G16+G26+G30+G33++G34+G38+G45+G49</f>
        <v>3523019.99</v>
      </c>
      <c r="H67" s="364">
        <f>+H16+H26+H30+H33++H34+H38+H45+H49</f>
        <v>9296354.5199999996</v>
      </c>
    </row>
    <row r="68" spans="2:8" s="238" customFormat="1" x14ac:dyDescent="0.2">
      <c r="B68" s="377"/>
      <c r="C68" s="363"/>
      <c r="D68" s="363"/>
      <c r="E68" s="363"/>
      <c r="F68" s="378"/>
      <c r="G68" s="363"/>
      <c r="H68" s="364"/>
    </row>
    <row r="69" spans="2:8" s="238" customFormat="1" x14ac:dyDescent="0.2">
      <c r="B69" s="379" t="s">
        <v>706</v>
      </c>
      <c r="C69" s="363"/>
      <c r="D69" s="363"/>
      <c r="E69" s="363"/>
      <c r="F69" s="380" t="s">
        <v>707</v>
      </c>
      <c r="G69" s="351"/>
      <c r="H69" s="353"/>
    </row>
    <row r="70" spans="2:8" s="238" customFormat="1" x14ac:dyDescent="0.2">
      <c r="B70" s="379"/>
      <c r="C70" s="363"/>
      <c r="D70" s="363"/>
      <c r="E70" s="363"/>
      <c r="F70" s="380"/>
      <c r="G70" s="351"/>
      <c r="H70" s="353"/>
    </row>
    <row r="71" spans="2:8" s="238" customFormat="1" x14ac:dyDescent="0.2">
      <c r="B71" s="354" t="s">
        <v>884</v>
      </c>
      <c r="C71" s="363">
        <f>+SUM('BALANZA COMPROBACION'!H124:H141)</f>
        <v>0</v>
      </c>
      <c r="D71" s="363">
        <f>+SUM('BALANZA COMPROBACION'!E124:E141)</f>
        <v>0</v>
      </c>
      <c r="E71" s="363"/>
      <c r="F71" s="356" t="s">
        <v>883</v>
      </c>
      <c r="G71" s="363">
        <f>-SUM('BALANZA COMPROBACION'!H362:H366)</f>
        <v>0</v>
      </c>
      <c r="H71" s="364">
        <f>-SUM('BALANZA COMPROBACION'!E362:E366)</f>
        <v>0</v>
      </c>
    </row>
    <row r="72" spans="2:8" s="238" customFormat="1" x14ac:dyDescent="0.2">
      <c r="B72" s="377" t="s">
        <v>882</v>
      </c>
      <c r="C72" s="363">
        <f>+SUM('BALANZA COMPROBACION'!H142:H153)</f>
        <v>0</v>
      </c>
      <c r="D72" s="363">
        <f>+SUM('BALANZA COMPROBACION'!E142:E153)</f>
        <v>0</v>
      </c>
      <c r="E72" s="363"/>
      <c r="F72" s="381" t="s">
        <v>881</v>
      </c>
      <c r="G72" s="363">
        <f>-SUM('BALANZA COMPROBACION'!H367:H372)</f>
        <v>0</v>
      </c>
      <c r="H72" s="364">
        <f>-SUM('BALANZA COMPROBACION'!E367:E372)</f>
        <v>0</v>
      </c>
    </row>
    <row r="73" spans="2:8" s="238" customFormat="1" x14ac:dyDescent="0.2">
      <c r="B73" s="354" t="s">
        <v>880</v>
      </c>
      <c r="C73" s="363">
        <f>+SUM('BALANZA COMPROBACION'!H154:H182)</f>
        <v>437129139.00999999</v>
      </c>
      <c r="D73" s="363">
        <f>+SUM('BALANZA COMPROBACION'!E154:E182)</f>
        <v>449709044.76999998</v>
      </c>
      <c r="E73" s="363"/>
      <c r="F73" s="356" t="s">
        <v>879</v>
      </c>
      <c r="G73" s="363">
        <f>-SUM('BALANZA COMPROBACION'!H373:H378)</f>
        <v>0</v>
      </c>
      <c r="H73" s="364">
        <f>-SUM('BALANZA COMPROBACION'!E373:E378)</f>
        <v>0</v>
      </c>
    </row>
    <row r="74" spans="2:8" s="238" customFormat="1" x14ac:dyDescent="0.2">
      <c r="B74" s="377" t="s">
        <v>878</v>
      </c>
      <c r="C74" s="363">
        <f>+SUM('BALANZA COMPROBACION'!H183:H218)</f>
        <v>600451272.93999994</v>
      </c>
      <c r="D74" s="363">
        <f>+SUM('BALANZA COMPROBACION'!E183:E218)</f>
        <v>584033752.55999982</v>
      </c>
      <c r="E74" s="363"/>
      <c r="F74" s="381" t="s">
        <v>877</v>
      </c>
      <c r="G74" s="363">
        <f>-SUM('BALANZA COMPROBACION'!H379:H381)</f>
        <v>0</v>
      </c>
      <c r="H74" s="364">
        <f>-SUM('BALANZA COMPROBACION'!E379:E381)</f>
        <v>0</v>
      </c>
    </row>
    <row r="75" spans="2:8" s="238" customFormat="1" x14ac:dyDescent="0.2">
      <c r="B75" s="377" t="s">
        <v>876</v>
      </c>
      <c r="C75" s="363">
        <f>+SUM('BALANZA COMPROBACION'!H219:H227)</f>
        <v>5456903.1299999999</v>
      </c>
      <c r="D75" s="363">
        <f>+SUM('BALANZA COMPROBACION'!E219:E227)</f>
        <v>17986777.350000001</v>
      </c>
      <c r="E75" s="363"/>
      <c r="F75" s="381" t="s">
        <v>875</v>
      </c>
      <c r="G75" s="363">
        <f>-SUM('BALANZA COMPROBACION'!H382:H388)</f>
        <v>0</v>
      </c>
      <c r="H75" s="364">
        <f>-SUM('BALANZA COMPROBACION'!E382:E388)</f>
        <v>0</v>
      </c>
    </row>
    <row r="76" spans="2:8" s="238" customFormat="1" x14ac:dyDescent="0.2">
      <c r="B76" s="377" t="s">
        <v>874</v>
      </c>
      <c r="C76" s="363">
        <f>+SUM('BALANZA COMPROBACION'!H228:H259)</f>
        <v>-214796739.53999999</v>
      </c>
      <c r="D76" s="363">
        <f>+SUM('BALANZA COMPROBACION'!E228:E259)</f>
        <v>-182533410.93000001</v>
      </c>
      <c r="E76" s="363"/>
      <c r="F76" s="381" t="s">
        <v>873</v>
      </c>
      <c r="G76" s="363">
        <f>-SUM('BALANZA COMPROBACION'!H389:H392)</f>
        <v>0</v>
      </c>
      <c r="H76" s="364">
        <f>-SUM('BALANZA COMPROBACION'!E389:E392)</f>
        <v>0</v>
      </c>
    </row>
    <row r="77" spans="2:8" s="238" customFormat="1" x14ac:dyDescent="0.2">
      <c r="B77" s="377" t="s">
        <v>872</v>
      </c>
      <c r="C77" s="363">
        <f>+SUM('BALANZA COMPROBACION'!H260:H269)</f>
        <v>0</v>
      </c>
      <c r="D77" s="363">
        <f>+SUM('BALANZA COMPROBACION'!E260:E269)</f>
        <v>0</v>
      </c>
      <c r="E77" s="363"/>
      <c r="F77" s="382"/>
      <c r="G77" s="363"/>
      <c r="H77" s="364"/>
    </row>
    <row r="78" spans="2:8" s="238" customFormat="1" x14ac:dyDescent="0.2">
      <c r="B78" s="362" t="s">
        <v>871</v>
      </c>
      <c r="C78" s="363">
        <f>+SUM('BALANZA COMPROBACION'!H270:H281)</f>
        <v>0</v>
      </c>
      <c r="D78" s="363">
        <f>+SUM('BALANZA COMPROBACION'!E270:E281)</f>
        <v>0</v>
      </c>
      <c r="E78" s="363"/>
      <c r="F78" s="378" t="s">
        <v>870</v>
      </c>
      <c r="G78" s="363">
        <f>SUM(G71:G76)</f>
        <v>0</v>
      </c>
      <c r="H78" s="364">
        <f>SUM(H71:H76)</f>
        <v>0</v>
      </c>
    </row>
    <row r="79" spans="2:8" s="238" customFormat="1" x14ac:dyDescent="0.2">
      <c r="B79" s="377" t="s">
        <v>869</v>
      </c>
      <c r="C79" s="363">
        <f>+SUM('BALANZA COMPROBACION'!H282:H286)</f>
        <v>0</v>
      </c>
      <c r="D79" s="363">
        <f>+SUM('BALANZA COMPROBACION'!E282:E286)</f>
        <v>0</v>
      </c>
      <c r="E79" s="363"/>
      <c r="F79" s="382"/>
      <c r="G79" s="363"/>
      <c r="H79" s="364"/>
    </row>
    <row r="80" spans="2:8" s="238" customFormat="1" x14ac:dyDescent="0.2">
      <c r="B80" s="358"/>
      <c r="C80" s="363"/>
      <c r="D80" s="363"/>
      <c r="E80" s="363"/>
      <c r="F80" s="380" t="s">
        <v>868</v>
      </c>
      <c r="G80" s="363">
        <f>+G67+G78</f>
        <v>3523019.99</v>
      </c>
      <c r="H80" s="364">
        <f>+H67+H78</f>
        <v>9296354.5199999996</v>
      </c>
    </row>
    <row r="81" spans="2:8" s="238" customFormat="1" x14ac:dyDescent="0.2">
      <c r="B81" s="377" t="s">
        <v>867</v>
      </c>
      <c r="C81" s="363">
        <f>SUM(C71:C79)</f>
        <v>828240575.53999996</v>
      </c>
      <c r="D81" s="363">
        <f>SUM(D71:D79)</f>
        <v>869196163.74999976</v>
      </c>
      <c r="E81" s="363"/>
      <c r="F81" s="382"/>
      <c r="G81" s="363"/>
      <c r="H81" s="364"/>
    </row>
    <row r="82" spans="2:8" s="238" customFormat="1" x14ac:dyDescent="0.2">
      <c r="B82" s="358"/>
      <c r="C82" s="363"/>
      <c r="D82" s="363"/>
      <c r="E82" s="363"/>
      <c r="F82" s="378" t="s">
        <v>866</v>
      </c>
      <c r="G82" s="363"/>
      <c r="H82" s="364"/>
    </row>
    <row r="83" spans="2:8" s="238" customFormat="1" x14ac:dyDescent="0.2">
      <c r="B83" s="379" t="s">
        <v>865</v>
      </c>
      <c r="C83" s="363">
        <f>+C67+C81</f>
        <v>858520300.70999992</v>
      </c>
      <c r="D83" s="363">
        <f>+D67+D81</f>
        <v>889308537.69999981</v>
      </c>
      <c r="E83" s="363"/>
      <c r="F83" s="375"/>
      <c r="G83" s="363"/>
      <c r="H83" s="364"/>
    </row>
    <row r="84" spans="2:8" s="238" customFormat="1" x14ac:dyDescent="0.2">
      <c r="B84" s="358"/>
      <c r="C84" s="363"/>
      <c r="D84" s="382"/>
      <c r="E84" s="382"/>
      <c r="F84" s="352" t="s">
        <v>864</v>
      </c>
      <c r="G84" s="363">
        <f>SUM(G86:G88)</f>
        <v>59622747.950000003</v>
      </c>
      <c r="H84" s="364">
        <f>SUM(H86:H88)</f>
        <v>28138858.09</v>
      </c>
    </row>
    <row r="85" spans="2:8" s="238" customFormat="1" x14ac:dyDescent="0.2">
      <c r="B85" s="358"/>
      <c r="C85" s="363"/>
      <c r="D85" s="382"/>
      <c r="E85" s="382"/>
      <c r="F85" s="352"/>
      <c r="G85" s="363"/>
      <c r="H85" s="364"/>
    </row>
    <row r="86" spans="2:8" s="238" customFormat="1" x14ac:dyDescent="0.2">
      <c r="B86" s="358"/>
      <c r="C86" s="382"/>
      <c r="D86" s="382"/>
      <c r="E86" s="382"/>
      <c r="F86" s="381" t="s">
        <v>863</v>
      </c>
      <c r="G86" s="363">
        <f>-SUM('BALANZA COMPROBACION'!H393:H397)</f>
        <v>0</v>
      </c>
      <c r="H86" s="364">
        <f>-SUM('BALANZA COMPROBACION'!E393:E397)</f>
        <v>0</v>
      </c>
    </row>
    <row r="87" spans="2:8" s="238" customFormat="1" x14ac:dyDescent="0.2">
      <c r="B87" s="358"/>
      <c r="C87" s="382"/>
      <c r="D87" s="382"/>
      <c r="E87" s="382"/>
      <c r="F87" s="381" t="s">
        <v>862</v>
      </c>
      <c r="G87" s="363">
        <f>-SUM('BALANZA COMPROBACION'!H398:H401)</f>
        <v>59622747.950000003</v>
      </c>
      <c r="H87" s="364">
        <f>-SUM('BALANZA COMPROBACION'!E398:E401)</f>
        <v>28138858.09</v>
      </c>
    </row>
    <row r="88" spans="2:8" s="238" customFormat="1" x14ac:dyDescent="0.2">
      <c r="B88" s="358"/>
      <c r="C88" s="382"/>
      <c r="D88" s="382"/>
      <c r="E88" s="382"/>
      <c r="F88" s="356" t="s">
        <v>861</v>
      </c>
      <c r="G88" s="363">
        <f>-SUM('BALANZA COMPROBACION'!H402:H405)</f>
        <v>0</v>
      </c>
      <c r="H88" s="364">
        <f>-SUM('BALANZA COMPROBACION'!E402:E405)</f>
        <v>0</v>
      </c>
    </row>
    <row r="89" spans="2:8" s="238" customFormat="1" x14ac:dyDescent="0.2">
      <c r="B89" s="358"/>
      <c r="C89" s="382"/>
      <c r="D89" s="382"/>
      <c r="E89" s="382"/>
      <c r="F89" s="381"/>
      <c r="G89" s="363"/>
      <c r="H89" s="364"/>
    </row>
    <row r="90" spans="2:8" s="238" customFormat="1" x14ac:dyDescent="0.2">
      <c r="B90" s="383"/>
      <c r="C90" s="375"/>
      <c r="D90" s="375"/>
      <c r="E90" s="375"/>
      <c r="F90" s="352" t="s">
        <v>860</v>
      </c>
      <c r="G90" s="363">
        <f>SUM(G92:G96)</f>
        <v>795374532.76999998</v>
      </c>
      <c r="H90" s="364">
        <f>SUM(H92:H96)</f>
        <v>851873325.08999884</v>
      </c>
    </row>
    <row r="91" spans="2:8" s="238" customFormat="1" x14ac:dyDescent="0.2">
      <c r="B91" s="383"/>
      <c r="C91" s="375"/>
      <c r="D91" s="375"/>
      <c r="E91" s="375"/>
      <c r="F91" s="378"/>
      <c r="G91" s="363"/>
      <c r="H91" s="364"/>
    </row>
    <row r="92" spans="2:8" s="238" customFormat="1" x14ac:dyDescent="0.2">
      <c r="B92" s="361"/>
      <c r="C92" s="382"/>
      <c r="D92" s="382"/>
      <c r="E92" s="382"/>
      <c r="F92" s="356" t="s">
        <v>859</v>
      </c>
      <c r="G92" s="363">
        <f>+EA!J54</f>
        <v>-42133210.119999886</v>
      </c>
      <c r="H92" s="364">
        <f>-SUM('BALANZA COMPROBACION'!E419:E611)</f>
        <v>-84504930.860000134</v>
      </c>
    </row>
    <row r="93" spans="2:8" s="238" customFormat="1" x14ac:dyDescent="0.2">
      <c r="B93" s="358"/>
      <c r="C93" s="382"/>
      <c r="D93" s="382"/>
      <c r="E93" s="382"/>
      <c r="F93" s="356" t="s">
        <v>858</v>
      </c>
      <c r="G93" s="363">
        <f>-SUM('BALANZA COMPROBACION'!H407)</f>
        <v>837507742.88999987</v>
      </c>
      <c r="H93" s="364">
        <f>-SUM('BALANZA COMPROBACION'!E407)</f>
        <v>936378255.94999897</v>
      </c>
    </row>
    <row r="94" spans="2:8" s="238" customFormat="1" x14ac:dyDescent="0.2">
      <c r="B94" s="358"/>
      <c r="C94" s="382"/>
      <c r="D94" s="382"/>
      <c r="E94" s="382"/>
      <c r="F94" s="381" t="s">
        <v>857</v>
      </c>
      <c r="G94" s="363">
        <f>-SUM('BALANZA COMPROBACION'!H408:H411)</f>
        <v>0</v>
      </c>
      <c r="H94" s="364">
        <f>-SUM('BALANZA COMPROBACION'!E408:E411)</f>
        <v>0</v>
      </c>
    </row>
    <row r="95" spans="2:8" s="238" customFormat="1" x14ac:dyDescent="0.2">
      <c r="B95" s="358"/>
      <c r="C95" s="382"/>
      <c r="D95" s="382"/>
      <c r="E95" s="382"/>
      <c r="F95" s="381" t="s">
        <v>856</v>
      </c>
      <c r="G95" s="363">
        <f>-SUM('BALANZA COMPROBACION'!H412:H414)</f>
        <v>0</v>
      </c>
      <c r="H95" s="364">
        <f>-SUM('BALANZA COMPROBACION'!E412:E414)</f>
        <v>0</v>
      </c>
    </row>
    <row r="96" spans="2:8" s="238" customFormat="1" x14ac:dyDescent="0.2">
      <c r="B96" s="358"/>
      <c r="C96" s="382"/>
      <c r="D96" s="382"/>
      <c r="E96" s="382"/>
      <c r="F96" s="381" t="s">
        <v>855</v>
      </c>
      <c r="G96" s="363">
        <f>-SUM('BALANZA COMPROBACION'!H415:H416)</f>
        <v>0</v>
      </c>
      <c r="H96" s="364">
        <f>-SUM('BALANZA COMPROBACION'!E415:E416)</f>
        <v>0</v>
      </c>
    </row>
    <row r="97" spans="1:9" s="238" customFormat="1" x14ac:dyDescent="0.2">
      <c r="B97" s="383"/>
      <c r="C97" s="351"/>
      <c r="D97" s="351"/>
      <c r="E97" s="351"/>
      <c r="F97" s="363"/>
      <c r="G97" s="363"/>
      <c r="H97" s="364"/>
    </row>
    <row r="98" spans="1:9" s="238" customFormat="1" x14ac:dyDescent="0.2">
      <c r="B98" s="358"/>
      <c r="C98" s="382"/>
      <c r="D98" s="382"/>
      <c r="E98" s="382"/>
      <c r="F98" s="352" t="s">
        <v>854</v>
      </c>
      <c r="G98" s="363">
        <f>-G100-G101</f>
        <v>0</v>
      </c>
      <c r="H98" s="364">
        <f>-H100-H101</f>
        <v>0</v>
      </c>
    </row>
    <row r="99" spans="1:9" s="238" customFormat="1" x14ac:dyDescent="0.2">
      <c r="B99" s="358"/>
      <c r="C99" s="382"/>
      <c r="D99" s="382"/>
      <c r="E99" s="382"/>
      <c r="F99" s="378"/>
      <c r="G99" s="363"/>
      <c r="H99" s="364"/>
    </row>
    <row r="100" spans="1:9" s="238" customFormat="1" x14ac:dyDescent="0.2">
      <c r="B100" s="358"/>
      <c r="C100" s="382"/>
      <c r="D100" s="382"/>
      <c r="E100" s="382"/>
      <c r="F100" s="381" t="s">
        <v>853</v>
      </c>
      <c r="G100" s="363">
        <f>-SUM('BALANZA COMPROBACION'!H417)</f>
        <v>0</v>
      </c>
      <c r="H100" s="364">
        <f>-SUM('BALANZA COMPROBACION'!E417)</f>
        <v>0</v>
      </c>
    </row>
    <row r="101" spans="1:9" s="238" customFormat="1" x14ac:dyDescent="0.2">
      <c r="B101" s="358"/>
      <c r="C101" s="382"/>
      <c r="D101" s="382"/>
      <c r="E101" s="382"/>
      <c r="F101" s="381" t="s">
        <v>852</v>
      </c>
      <c r="G101" s="363">
        <f>-SUM('BALANZA COMPROBACION'!H418)</f>
        <v>0</v>
      </c>
      <c r="H101" s="364">
        <f>-SUM('BALANZA COMPROBACION'!E418)</f>
        <v>0</v>
      </c>
    </row>
    <row r="102" spans="1:9" s="238" customFormat="1" x14ac:dyDescent="0.2">
      <c r="B102" s="358"/>
      <c r="C102" s="382"/>
      <c r="D102" s="382"/>
      <c r="E102" s="382"/>
      <c r="F102" s="382"/>
      <c r="G102" s="363"/>
      <c r="H102" s="364"/>
    </row>
    <row r="103" spans="1:9" s="238" customFormat="1" x14ac:dyDescent="0.2">
      <c r="B103" s="358"/>
      <c r="C103" s="382"/>
      <c r="D103" s="382"/>
      <c r="E103" s="382"/>
      <c r="F103" s="378" t="s">
        <v>851</v>
      </c>
      <c r="G103" s="363">
        <f>+G84+G90+G98</f>
        <v>854997280.72000003</v>
      </c>
      <c r="H103" s="364">
        <f>+H84+H90+H98</f>
        <v>880012183.17999887</v>
      </c>
    </row>
    <row r="104" spans="1:9" s="238" customFormat="1" x14ac:dyDescent="0.2">
      <c r="B104" s="383"/>
      <c r="C104" s="351"/>
      <c r="D104" s="351"/>
      <c r="E104" s="351"/>
      <c r="F104" s="382"/>
      <c r="G104" s="363"/>
      <c r="H104" s="364"/>
    </row>
    <row r="105" spans="1:9" s="238" customFormat="1" x14ac:dyDescent="0.2">
      <c r="B105" s="383"/>
      <c r="C105" s="351"/>
      <c r="D105" s="351"/>
      <c r="E105" s="351"/>
      <c r="F105" s="356" t="s">
        <v>850</v>
      </c>
      <c r="G105" s="363">
        <f>+G80+G103</f>
        <v>858520300.71000004</v>
      </c>
      <c r="H105" s="364">
        <f>+H80+H103</f>
        <v>889308537.69999886</v>
      </c>
    </row>
    <row r="106" spans="1:9" s="280" customFormat="1" x14ac:dyDescent="0.2">
      <c r="A106" s="238"/>
      <c r="B106" s="358"/>
      <c r="C106" s="382"/>
      <c r="D106" s="382"/>
      <c r="E106" s="382"/>
      <c r="F106" s="382"/>
      <c r="G106" s="382"/>
      <c r="H106" s="384"/>
      <c r="I106" s="238"/>
    </row>
    <row r="107" spans="1:9" s="280" customFormat="1" x14ac:dyDescent="0.2">
      <c r="A107" s="238"/>
      <c r="B107" s="385"/>
      <c r="C107" s="386"/>
      <c r="D107" s="386"/>
      <c r="E107" s="386"/>
      <c r="F107" s="386"/>
      <c r="G107" s="386"/>
      <c r="H107" s="387"/>
      <c r="I107" s="238"/>
    </row>
    <row r="108" spans="1:9" x14ac:dyDescent="0.2">
      <c r="B108" s="388"/>
      <c r="C108" s="389"/>
      <c r="D108" s="389"/>
      <c r="E108" s="389"/>
      <c r="F108" s="389"/>
      <c r="G108" s="389"/>
      <c r="H108" s="390"/>
    </row>
    <row r="109" spans="1:9" x14ac:dyDescent="0.2">
      <c r="B109" s="464"/>
      <c r="C109" s="464"/>
      <c r="D109" s="464"/>
      <c r="E109" s="464"/>
      <c r="F109" s="464"/>
      <c r="G109" s="464"/>
      <c r="H109" s="47"/>
      <c r="I109" s="47"/>
    </row>
    <row r="110" spans="1:9" x14ac:dyDescent="0.2">
      <c r="B110" s="47"/>
      <c r="C110" s="67"/>
      <c r="D110" s="68"/>
      <c r="E110" s="68"/>
      <c r="F110" s="22"/>
      <c r="G110" s="69"/>
      <c r="H110" s="68"/>
      <c r="I110" s="68"/>
    </row>
    <row r="111" spans="1:9" x14ac:dyDescent="0.2">
      <c r="B111" s="47"/>
      <c r="C111" s="67"/>
      <c r="D111" s="68"/>
      <c r="E111" s="68"/>
      <c r="F111" s="22"/>
      <c r="G111" s="69"/>
      <c r="H111" s="68"/>
      <c r="I111" s="68"/>
    </row>
    <row r="112" spans="1:9" x14ac:dyDescent="0.2">
      <c r="B112" s="47"/>
      <c r="C112" s="67"/>
      <c r="D112" s="68"/>
      <c r="E112" s="68"/>
      <c r="F112" s="22"/>
      <c r="G112" s="69"/>
      <c r="H112" s="68"/>
      <c r="I112" s="68"/>
    </row>
    <row r="113" spans="1:9" x14ac:dyDescent="0.2">
      <c r="B113" s="47"/>
      <c r="C113" s="67"/>
      <c r="D113" s="68"/>
      <c r="E113" s="68"/>
      <c r="F113" s="22"/>
      <c r="G113" s="69"/>
      <c r="H113" s="68"/>
      <c r="I113" s="68"/>
    </row>
    <row r="114" spans="1:9" x14ac:dyDescent="0.2">
      <c r="B114" s="47"/>
      <c r="C114" s="67"/>
      <c r="D114" s="68"/>
      <c r="E114" s="68"/>
      <c r="F114" s="22"/>
      <c r="G114" s="69"/>
      <c r="H114" s="68"/>
      <c r="I114" s="68"/>
    </row>
    <row r="115" spans="1:9" x14ac:dyDescent="0.2">
      <c r="B115" s="47"/>
      <c r="C115" s="67"/>
      <c r="D115" s="68"/>
      <c r="E115" s="68"/>
      <c r="F115" s="22"/>
      <c r="G115" s="69"/>
      <c r="H115" s="68"/>
      <c r="I115" s="68"/>
    </row>
    <row r="116" spans="1:9" x14ac:dyDescent="0.2">
      <c r="B116" s="47"/>
      <c r="C116" s="67"/>
      <c r="D116" s="68"/>
      <c r="E116" s="68"/>
      <c r="F116" s="22"/>
      <c r="G116" s="69"/>
      <c r="H116" s="68"/>
      <c r="I116" s="68"/>
    </row>
    <row r="117" spans="1:9" x14ac:dyDescent="0.2">
      <c r="B117" s="47"/>
      <c r="C117" s="67"/>
      <c r="D117" s="68"/>
      <c r="E117" s="68"/>
      <c r="F117" s="22"/>
      <c r="G117" s="69"/>
      <c r="H117" s="68"/>
      <c r="I117" s="68"/>
    </row>
    <row r="118" spans="1:9" x14ac:dyDescent="0.2">
      <c r="A118" s="279"/>
      <c r="B118" s="483"/>
      <c r="C118" s="483"/>
      <c r="D118" s="483"/>
      <c r="E118" s="310"/>
      <c r="F118" s="482"/>
      <c r="G118" s="482"/>
      <c r="H118" s="482"/>
      <c r="I118" s="482"/>
    </row>
    <row r="119" spans="1:9" x14ac:dyDescent="0.2">
      <c r="A119" s="279"/>
      <c r="B119" s="482"/>
      <c r="C119" s="482"/>
      <c r="D119" s="482"/>
      <c r="E119" s="311"/>
      <c r="F119" s="482"/>
      <c r="G119" s="482"/>
      <c r="H119" s="482"/>
      <c r="I119" s="482"/>
    </row>
    <row r="120" spans="1:9" x14ac:dyDescent="0.2">
      <c r="B120" s="225"/>
      <c r="C120" s="225"/>
      <c r="D120" s="75"/>
      <c r="E120" s="75"/>
      <c r="F120" s="225"/>
      <c r="G120" s="225"/>
      <c r="H120" s="225"/>
      <c r="I120" s="225"/>
    </row>
    <row r="121" spans="1:9" x14ac:dyDescent="0.2">
      <c r="B121" s="241"/>
      <c r="C121" s="241"/>
      <c r="D121" s="241"/>
      <c r="E121" s="241"/>
      <c r="F121" s="241"/>
      <c r="G121" s="241"/>
      <c r="H121" s="241"/>
    </row>
    <row r="122" spans="1:9" x14ac:dyDescent="0.2">
      <c r="B122" s="241"/>
      <c r="C122" s="241"/>
      <c r="D122" s="241"/>
      <c r="E122" s="241"/>
      <c r="F122" s="241"/>
      <c r="G122" s="241"/>
      <c r="H122" s="241"/>
    </row>
  </sheetData>
  <sheetProtection password="88C8" sheet="1" objects="1" scenarios="1" selectLockedCells="1"/>
  <mergeCells count="15">
    <mergeCell ref="F118:I118"/>
    <mergeCell ref="B118:D118"/>
    <mergeCell ref="B119:D119"/>
    <mergeCell ref="F119:I119"/>
    <mergeCell ref="B2:H2"/>
    <mergeCell ref="B3:H3"/>
    <mergeCell ref="B4:H4"/>
    <mergeCell ref="B5:H5"/>
    <mergeCell ref="B58:H58"/>
    <mergeCell ref="C7:F7"/>
    <mergeCell ref="C63:F63"/>
    <mergeCell ref="B109:G109"/>
    <mergeCell ref="B59:H59"/>
    <mergeCell ref="B60:H60"/>
    <mergeCell ref="B61:H61"/>
  </mergeCells>
  <printOptions horizontalCentered="1" verticalCentered="1"/>
  <pageMargins left="0.11811023622047245" right="0.11811023622047245" top="0.35433070866141736" bottom="0.55118110236220474" header="0" footer="0"/>
  <pageSetup scale="58" orientation="landscape" r:id="rId1"/>
  <headerFooter>
    <oddFooter>&amp;C&amp;A&amp;RPágina &amp;P</oddFooter>
  </headerFooter>
  <ignoredErrors>
    <ignoredError sqref="D16:D26 H16:H44 H93:H96 D71:D79 D13:D14 H71:H84 H86:H87 H89:H90 D28:D52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B2:M54"/>
  <sheetViews>
    <sheetView showGridLines="0" view="pageBreakPreview" topLeftCell="A11" zoomScaleSheetLayoutView="100" workbookViewId="0">
      <selection activeCell="I18" sqref="I18"/>
    </sheetView>
  </sheetViews>
  <sheetFormatPr baseColWidth="10" defaultRowHeight="12" x14ac:dyDescent="0.2"/>
  <cols>
    <col min="1" max="1" width="1.7109375" style="23" customWidth="1"/>
    <col min="2" max="2" width="3.7109375" style="144" customWidth="1"/>
    <col min="3" max="3" width="11.7109375" style="151" customWidth="1"/>
    <col min="4" max="4" width="65.7109375" style="151" customWidth="1"/>
    <col min="5" max="7" width="18.7109375" style="152" customWidth="1"/>
    <col min="8" max="8" width="15.85546875" style="152" customWidth="1"/>
    <col min="9" max="9" width="16.140625" style="152" customWidth="1"/>
    <col min="10" max="10" width="3.28515625" style="144" customWidth="1"/>
    <col min="11" max="11" width="1.28515625" style="144" customWidth="1"/>
    <col min="12" max="16384" width="11.42578125" style="23"/>
  </cols>
  <sheetData>
    <row r="2" spans="2:13" ht="12" hidden="1" customHeight="1" x14ac:dyDescent="0.2">
      <c r="B2" s="23"/>
      <c r="C2" s="474"/>
      <c r="D2" s="474"/>
      <c r="E2" s="474"/>
      <c r="F2" s="474"/>
      <c r="G2" s="474"/>
      <c r="H2" s="474"/>
      <c r="I2" s="474"/>
      <c r="J2" s="206"/>
      <c r="K2" s="206"/>
      <c r="L2" s="206"/>
      <c r="M2" s="102"/>
    </row>
    <row r="3" spans="2:13" ht="12" customHeight="1" x14ac:dyDescent="0.2">
      <c r="C3" s="480" t="s">
        <v>781</v>
      </c>
      <c r="D3" s="480"/>
      <c r="E3" s="480"/>
      <c r="F3" s="480"/>
      <c r="G3" s="480"/>
      <c r="H3" s="480"/>
      <c r="I3" s="480"/>
      <c r="J3" s="480"/>
      <c r="K3" s="321"/>
    </row>
    <row r="4" spans="2:13" ht="12" customHeight="1" x14ac:dyDescent="0.2">
      <c r="C4" s="480" t="str">
        <f>"Del 1 de enero al "&amp;TEXT(INDEX(Periodos,ENTE!D18,1),"dd")&amp;" de "&amp;TEXT(INDEX(Periodos,ENTE!D18,1),"mmmm")&amp;" de "&amp;TEXT(INDEX(Periodos,ENTE!D18,1),"aaaa")&amp;" "</f>
        <v xml:space="preserve">Del 1 de enero al 31 de diciembre de 2018 </v>
      </c>
      <c r="D4" s="480"/>
      <c r="E4" s="480"/>
      <c r="F4" s="480"/>
      <c r="G4" s="480"/>
      <c r="H4" s="480"/>
      <c r="I4" s="480"/>
      <c r="J4" s="480"/>
      <c r="K4" s="321"/>
    </row>
    <row r="5" spans="2:13" ht="12" customHeight="1" x14ac:dyDescent="0.2">
      <c r="C5" s="480" t="s">
        <v>624</v>
      </c>
      <c r="D5" s="480"/>
      <c r="E5" s="480"/>
      <c r="F5" s="480"/>
      <c r="G5" s="480"/>
      <c r="H5" s="480"/>
      <c r="I5" s="480"/>
      <c r="J5" s="480"/>
      <c r="K5" s="321"/>
    </row>
    <row r="6" spans="2:13" ht="12" customHeight="1" x14ac:dyDescent="0.2">
      <c r="C6" s="321"/>
      <c r="D6" s="321"/>
      <c r="E6" s="321"/>
      <c r="F6" s="321"/>
      <c r="G6" s="321"/>
      <c r="H6" s="321"/>
      <c r="I6" s="321"/>
      <c r="J6" s="321"/>
      <c r="K6" s="321"/>
    </row>
    <row r="7" spans="2:13" x14ac:dyDescent="0.2">
      <c r="B7" s="78"/>
      <c r="C7" s="325" t="s">
        <v>6</v>
      </c>
      <c r="D7" s="477" t="str">
        <f>ENTE!D8</f>
        <v>UNIDAD DE SERVICIOS PARA LA EDUCACIÓN BÁSICA EN EL ESTADO DE QUERÉTARO</v>
      </c>
      <c r="E7" s="477"/>
      <c r="F7" s="477"/>
      <c r="G7" s="477"/>
      <c r="H7" s="477"/>
      <c r="I7" s="116"/>
      <c r="J7" s="116"/>
      <c r="K7" s="76"/>
      <c r="L7" s="116"/>
      <c r="M7" s="116"/>
    </row>
    <row r="8" spans="2:13" ht="3" customHeight="1" x14ac:dyDescent="0.2">
      <c r="B8" s="78"/>
      <c r="C8" s="78"/>
      <c r="D8" s="78" t="s">
        <v>755</v>
      </c>
      <c r="E8" s="78"/>
      <c r="F8" s="78"/>
      <c r="G8" s="78"/>
      <c r="H8" s="78"/>
      <c r="I8" s="78"/>
      <c r="J8" s="78"/>
      <c r="K8" s="78"/>
    </row>
    <row r="9" spans="2:13" s="22" customFormat="1" ht="3" customHeight="1" x14ac:dyDescent="0.2">
      <c r="B9" s="78"/>
      <c r="C9" s="78"/>
      <c r="D9" s="78"/>
      <c r="E9" s="78"/>
      <c r="F9" s="78"/>
      <c r="G9" s="78"/>
      <c r="H9" s="78"/>
      <c r="I9" s="78"/>
      <c r="J9" s="78"/>
      <c r="K9" s="78"/>
    </row>
    <row r="10" spans="2:13" s="22" customFormat="1" ht="60" x14ac:dyDescent="0.2">
      <c r="B10" s="190"/>
      <c r="C10" s="479" t="s">
        <v>625</v>
      </c>
      <c r="D10" s="479"/>
      <c r="E10" s="191" t="s">
        <v>728</v>
      </c>
      <c r="F10" s="191" t="s">
        <v>782</v>
      </c>
      <c r="G10" s="191" t="s">
        <v>783</v>
      </c>
      <c r="H10" s="191" t="s">
        <v>1075</v>
      </c>
      <c r="I10" s="191" t="s">
        <v>815</v>
      </c>
      <c r="J10" s="192"/>
      <c r="K10" s="78"/>
    </row>
    <row r="11" spans="2:13" s="22" customFormat="1" ht="3" customHeight="1" x14ac:dyDescent="0.2">
      <c r="B11" s="132"/>
      <c r="C11" s="78"/>
      <c r="D11" s="78"/>
      <c r="E11" s="78"/>
      <c r="F11" s="78"/>
      <c r="G11" s="78"/>
      <c r="H11" s="78"/>
      <c r="I11" s="78"/>
      <c r="J11" s="145"/>
      <c r="K11" s="78"/>
    </row>
    <row r="12" spans="2:13" s="22" customFormat="1" ht="3" customHeight="1" x14ac:dyDescent="0.2">
      <c r="B12" s="84"/>
      <c r="C12" s="146"/>
      <c r="D12" s="313"/>
      <c r="E12" s="72"/>
      <c r="F12" s="85"/>
      <c r="G12" s="47"/>
      <c r="H12" s="38"/>
      <c r="I12" s="146"/>
      <c r="J12" s="147"/>
      <c r="K12" s="313"/>
    </row>
    <row r="13" spans="2:13" x14ac:dyDescent="0.2">
      <c r="B13" s="88"/>
      <c r="C13" s="488" t="s">
        <v>1076</v>
      </c>
      <c r="D13" s="488"/>
      <c r="E13" s="413">
        <f>SUM(E14:E16)</f>
        <v>28138858.09</v>
      </c>
      <c r="F13" s="413">
        <v>0</v>
      </c>
      <c r="G13" s="413">
        <v>0</v>
      </c>
      <c r="H13" s="413">
        <v>0</v>
      </c>
      <c r="I13" s="447">
        <f>SUM(E13:H13)</f>
        <v>28138858.09</v>
      </c>
      <c r="J13" s="147"/>
      <c r="K13" s="313"/>
    </row>
    <row r="14" spans="2:13" x14ac:dyDescent="0.2">
      <c r="B14" s="84"/>
      <c r="C14" s="464" t="s">
        <v>784</v>
      </c>
      <c r="D14" s="464"/>
      <c r="E14" s="414">
        <f>-SUM('BALANZA COMPROBACION'!E393:E397)</f>
        <v>0</v>
      </c>
      <c r="F14" s="414">
        <v>0</v>
      </c>
      <c r="G14" s="414">
        <v>0</v>
      </c>
      <c r="H14" s="414">
        <v>0</v>
      </c>
      <c r="I14" s="448">
        <f t="shared" ref="I14:I23" si="0">SUM(E14:H14)</f>
        <v>0</v>
      </c>
      <c r="J14" s="147"/>
      <c r="K14" s="313"/>
    </row>
    <row r="15" spans="2:13" x14ac:dyDescent="0.2">
      <c r="B15" s="84"/>
      <c r="C15" s="464" t="s">
        <v>729</v>
      </c>
      <c r="D15" s="464"/>
      <c r="E15" s="414">
        <f>-SUM('BALANZA COMPROBACION'!E398:E401)</f>
        <v>28138858.09</v>
      </c>
      <c r="F15" s="414">
        <v>0</v>
      </c>
      <c r="G15" s="414">
        <v>0</v>
      </c>
      <c r="H15" s="414">
        <v>0</v>
      </c>
      <c r="I15" s="448">
        <f t="shared" si="0"/>
        <v>28138858.09</v>
      </c>
      <c r="J15" s="147"/>
      <c r="K15" s="313"/>
    </row>
    <row r="16" spans="2:13" x14ac:dyDescent="0.2">
      <c r="B16" s="84"/>
      <c r="C16" s="464" t="s">
        <v>785</v>
      </c>
      <c r="D16" s="464"/>
      <c r="E16" s="414">
        <f>-SUM('BALANZA COMPROBACION'!E402:E405)</f>
        <v>0</v>
      </c>
      <c r="F16" s="414">
        <v>0</v>
      </c>
      <c r="G16" s="414">
        <v>0</v>
      </c>
      <c r="H16" s="414">
        <v>0</v>
      </c>
      <c r="I16" s="448">
        <f t="shared" si="0"/>
        <v>0</v>
      </c>
      <c r="J16" s="147"/>
      <c r="K16" s="313"/>
    </row>
    <row r="17" spans="2:13" ht="9.9499999999999993" customHeight="1" x14ac:dyDescent="0.2">
      <c r="B17" s="88"/>
      <c r="C17" s="324"/>
      <c r="D17" s="72"/>
      <c r="E17" s="414"/>
      <c r="F17" s="414"/>
      <c r="G17" s="414"/>
      <c r="H17" s="414"/>
      <c r="I17" s="448"/>
      <c r="J17" s="147"/>
      <c r="K17" s="313"/>
    </row>
    <row r="18" spans="2:13" x14ac:dyDescent="0.2">
      <c r="B18" s="88"/>
      <c r="C18" s="488" t="s">
        <v>1077</v>
      </c>
      <c r="D18" s="488"/>
      <c r="E18" s="413">
        <v>0</v>
      </c>
      <c r="F18" s="413">
        <f>SUM(F19:F23)</f>
        <v>936378255.94999897</v>
      </c>
      <c r="G18" s="413">
        <f>SUM(G19:G23)</f>
        <v>-84504930.86000061</v>
      </c>
      <c r="H18" s="413">
        <v>0</v>
      </c>
      <c r="I18" s="413">
        <f>SUM(I19:I23)</f>
        <v>851873325.08999836</v>
      </c>
      <c r="J18" s="147"/>
      <c r="K18" s="313"/>
    </row>
    <row r="19" spans="2:13" x14ac:dyDescent="0.2">
      <c r="B19" s="84"/>
      <c r="C19" s="464" t="s">
        <v>786</v>
      </c>
      <c r="D19" s="464"/>
      <c r="E19" s="414">
        <v>0</v>
      </c>
      <c r="F19" s="414">
        <v>0</v>
      </c>
      <c r="G19" s="414">
        <f>-SUM('BALANZA COMPROBACION'!E419:E481)-SUM('BALANZA COMPROBACION'!E482:E611)</f>
        <v>-84504930.86000061</v>
      </c>
      <c r="H19" s="414">
        <v>0</v>
      </c>
      <c r="I19" s="448">
        <f t="shared" si="0"/>
        <v>-84504930.86000061</v>
      </c>
      <c r="J19" s="147"/>
      <c r="K19" s="313"/>
      <c r="M19" s="148"/>
    </row>
    <row r="20" spans="2:13" x14ac:dyDescent="0.2">
      <c r="B20" s="84"/>
      <c r="C20" s="464" t="s">
        <v>733</v>
      </c>
      <c r="D20" s="464"/>
      <c r="E20" s="414">
        <v>0</v>
      </c>
      <c r="F20" s="414">
        <f>-'BALANZA COMPROBACION'!E407</f>
        <v>936378255.94999897</v>
      </c>
      <c r="G20" s="414">
        <v>0</v>
      </c>
      <c r="H20" s="414">
        <v>0</v>
      </c>
      <c r="I20" s="448">
        <f t="shared" si="0"/>
        <v>936378255.94999897</v>
      </c>
      <c r="J20" s="147"/>
      <c r="K20" s="313"/>
    </row>
    <row r="21" spans="2:13" x14ac:dyDescent="0.2">
      <c r="B21" s="84"/>
      <c r="C21" s="464" t="s">
        <v>787</v>
      </c>
      <c r="D21" s="464"/>
      <c r="E21" s="414">
        <v>0</v>
      </c>
      <c r="F21" s="414">
        <f>-SUM('BALANZA COMPROBACION'!E408:E411)</f>
        <v>0</v>
      </c>
      <c r="G21" s="414">
        <v>0</v>
      </c>
      <c r="H21" s="414">
        <v>0</v>
      </c>
      <c r="I21" s="448">
        <f t="shared" si="0"/>
        <v>0</v>
      </c>
      <c r="J21" s="147"/>
      <c r="K21" s="313"/>
    </row>
    <row r="22" spans="2:13" x14ac:dyDescent="0.2">
      <c r="B22" s="84"/>
      <c r="C22" s="464" t="s">
        <v>735</v>
      </c>
      <c r="D22" s="464"/>
      <c r="E22" s="414">
        <v>0</v>
      </c>
      <c r="F22" s="414">
        <f>+SUM('BALANZA COMPROBACION'!E412:E414)</f>
        <v>0</v>
      </c>
      <c r="G22" s="414">
        <v>0</v>
      </c>
      <c r="H22" s="414">
        <v>0</v>
      </c>
      <c r="I22" s="448">
        <f t="shared" si="0"/>
        <v>0</v>
      </c>
      <c r="J22" s="147"/>
      <c r="K22" s="313"/>
    </row>
    <row r="23" spans="2:13" x14ac:dyDescent="0.2">
      <c r="B23" s="84"/>
      <c r="C23" s="464" t="s">
        <v>736</v>
      </c>
      <c r="D23" s="464"/>
      <c r="E23" s="414">
        <v>0</v>
      </c>
      <c r="F23" s="414">
        <f>-SUM('BALANZA COMPROBACION'!E415:E416)</f>
        <v>0</v>
      </c>
      <c r="G23" s="414">
        <v>0</v>
      </c>
      <c r="H23" s="414">
        <v>0</v>
      </c>
      <c r="I23" s="448">
        <f t="shared" si="0"/>
        <v>0</v>
      </c>
      <c r="J23" s="147"/>
      <c r="K23" s="445"/>
    </row>
    <row r="24" spans="2:13" x14ac:dyDescent="0.2">
      <c r="B24" s="84"/>
      <c r="C24" s="446"/>
      <c r="D24" s="446"/>
      <c r="E24" s="414"/>
      <c r="F24" s="414"/>
      <c r="G24" s="414"/>
      <c r="H24" s="414"/>
      <c r="I24" s="448"/>
      <c r="J24" s="147"/>
      <c r="K24" s="445"/>
    </row>
    <row r="25" spans="2:13" x14ac:dyDescent="0.2">
      <c r="B25" s="88"/>
      <c r="C25" s="488" t="s">
        <v>1078</v>
      </c>
      <c r="D25" s="488"/>
      <c r="E25" s="413">
        <v>0</v>
      </c>
      <c r="F25" s="413">
        <v>0</v>
      </c>
      <c r="G25" s="413">
        <v>0</v>
      </c>
      <c r="H25" s="413">
        <f>SUM(H26:H27)</f>
        <v>0</v>
      </c>
      <c r="I25" s="413">
        <f>SUM(I26:I27)</f>
        <v>0</v>
      </c>
      <c r="J25" s="147"/>
      <c r="K25" s="445"/>
    </row>
    <row r="26" spans="2:13" x14ac:dyDescent="0.2">
      <c r="B26" s="84"/>
      <c r="C26" s="464" t="s">
        <v>738</v>
      </c>
      <c r="D26" s="464"/>
      <c r="E26" s="414">
        <v>0</v>
      </c>
      <c r="F26" s="414">
        <v>0</v>
      </c>
      <c r="G26" s="414">
        <v>0</v>
      </c>
      <c r="H26" s="414">
        <f>+ESF!K59</f>
        <v>0</v>
      </c>
      <c r="I26" s="448">
        <f t="shared" ref="I26:I27" si="1">SUM(E26:H26)</f>
        <v>0</v>
      </c>
      <c r="J26" s="147"/>
      <c r="K26" s="445"/>
      <c r="M26" s="148"/>
    </row>
    <row r="27" spans="2:13" x14ac:dyDescent="0.2">
      <c r="B27" s="84"/>
      <c r="C27" s="464" t="s">
        <v>739</v>
      </c>
      <c r="D27" s="464"/>
      <c r="E27" s="414">
        <v>0</v>
      </c>
      <c r="F27" s="414">
        <v>0</v>
      </c>
      <c r="G27" s="414">
        <v>0</v>
      </c>
      <c r="H27" s="414">
        <f>+ESF!K60</f>
        <v>0</v>
      </c>
      <c r="I27" s="448">
        <f t="shared" si="1"/>
        <v>0</v>
      </c>
      <c r="J27" s="147"/>
      <c r="K27" s="445"/>
      <c r="M27" s="148"/>
    </row>
    <row r="28" spans="2:13" ht="9.9499999999999993" customHeight="1" x14ac:dyDescent="0.2">
      <c r="B28" s="88"/>
      <c r="C28" s="324"/>
      <c r="D28" s="72"/>
      <c r="E28" s="414"/>
      <c r="F28" s="414"/>
      <c r="G28" s="414"/>
      <c r="H28" s="414"/>
      <c r="I28" s="448"/>
      <c r="J28" s="147"/>
      <c r="K28" s="313"/>
    </row>
    <row r="29" spans="2:13" ht="12.75" thickBot="1" x14ac:dyDescent="0.25">
      <c r="B29" s="88"/>
      <c r="C29" s="490" t="s">
        <v>1079</v>
      </c>
      <c r="D29" s="490"/>
      <c r="E29" s="415">
        <f>+E13</f>
        <v>28138858.09</v>
      </c>
      <c r="F29" s="415">
        <f>+F18</f>
        <v>936378255.94999897</v>
      </c>
      <c r="G29" s="415">
        <f>+G18</f>
        <v>-84504930.86000061</v>
      </c>
      <c r="H29" s="415">
        <f>+H25</f>
        <v>0</v>
      </c>
      <c r="I29" s="449">
        <f>SUM(E29:H29)</f>
        <v>880012183.1799984</v>
      </c>
      <c r="J29" s="147"/>
      <c r="K29" s="313"/>
      <c r="M29" s="140"/>
    </row>
    <row r="30" spans="2:13" x14ac:dyDescent="0.2">
      <c r="B30" s="84"/>
      <c r="C30" s="72"/>
      <c r="D30" s="47"/>
      <c r="E30" s="414"/>
      <c r="F30" s="414"/>
      <c r="G30" s="414"/>
      <c r="H30" s="414"/>
      <c r="I30" s="448"/>
      <c r="J30" s="147"/>
      <c r="K30" s="313"/>
    </row>
    <row r="31" spans="2:13" x14ac:dyDescent="0.2">
      <c r="B31" s="88"/>
      <c r="C31" s="488" t="s">
        <v>1080</v>
      </c>
      <c r="D31" s="488"/>
      <c r="E31" s="413">
        <f>SUM(E32:E34)</f>
        <v>31483889.860000003</v>
      </c>
      <c r="F31" s="413">
        <v>0</v>
      </c>
      <c r="G31" s="413">
        <v>0</v>
      </c>
      <c r="H31" s="413">
        <v>0</v>
      </c>
      <c r="I31" s="447">
        <f>SUM(E31:H31)</f>
        <v>31483889.860000003</v>
      </c>
      <c r="J31" s="147"/>
      <c r="K31" s="313"/>
    </row>
    <row r="32" spans="2:13" x14ac:dyDescent="0.2">
      <c r="B32" s="84"/>
      <c r="C32" s="464" t="s">
        <v>660</v>
      </c>
      <c r="D32" s="464"/>
      <c r="E32" s="414">
        <f>ESF!J45-E14</f>
        <v>0</v>
      </c>
      <c r="F32" s="414">
        <v>0</v>
      </c>
      <c r="G32" s="414">
        <v>0</v>
      </c>
      <c r="H32" s="414">
        <v>0</v>
      </c>
      <c r="I32" s="448">
        <f>SUM(E32:H32)</f>
        <v>0</v>
      </c>
      <c r="J32" s="147"/>
      <c r="K32" s="313"/>
    </row>
    <row r="33" spans="2:13" x14ac:dyDescent="0.2">
      <c r="B33" s="84"/>
      <c r="C33" s="464" t="s">
        <v>729</v>
      </c>
      <c r="D33" s="464"/>
      <c r="E33" s="414">
        <f>ESF!J46-E15</f>
        <v>31483889.860000003</v>
      </c>
      <c r="F33" s="414">
        <v>0</v>
      </c>
      <c r="G33" s="414">
        <v>0</v>
      </c>
      <c r="H33" s="414">
        <v>0</v>
      </c>
      <c r="I33" s="448">
        <f>SUM(E33:H33)</f>
        <v>31483889.860000003</v>
      </c>
      <c r="J33" s="147"/>
      <c r="K33" s="313"/>
    </row>
    <row r="34" spans="2:13" x14ac:dyDescent="0.2">
      <c r="B34" s="84"/>
      <c r="C34" s="464" t="s">
        <v>785</v>
      </c>
      <c r="D34" s="464"/>
      <c r="E34" s="414">
        <f>ESF!J47-E16</f>
        <v>0</v>
      </c>
      <c r="F34" s="414">
        <v>0</v>
      </c>
      <c r="G34" s="414">
        <v>0</v>
      </c>
      <c r="H34" s="414">
        <v>0</v>
      </c>
      <c r="I34" s="448">
        <f>SUM(E34:H34)</f>
        <v>0</v>
      </c>
      <c r="J34" s="147"/>
      <c r="K34" s="313"/>
    </row>
    <row r="35" spans="2:13" ht="9.9499999999999993" customHeight="1" x14ac:dyDescent="0.2">
      <c r="B35" s="88"/>
      <c r="C35" s="324"/>
      <c r="D35" s="72"/>
      <c r="E35" s="414"/>
      <c r="F35" s="414"/>
      <c r="G35" s="414"/>
      <c r="H35" s="414"/>
      <c r="I35" s="448"/>
      <c r="J35" s="147"/>
      <c r="K35" s="313"/>
    </row>
    <row r="36" spans="2:13" x14ac:dyDescent="0.2">
      <c r="B36" s="88" t="s">
        <v>755</v>
      </c>
      <c r="C36" s="488" t="s">
        <v>1081</v>
      </c>
      <c r="D36" s="488"/>
      <c r="E36" s="413">
        <v>0</v>
      </c>
      <c r="F36" s="413">
        <f>+F38</f>
        <v>-98870513.059999108</v>
      </c>
      <c r="G36" s="413">
        <f>SUM(G37:G41)</f>
        <v>42371720.740000725</v>
      </c>
      <c r="H36" s="413">
        <v>0</v>
      </c>
      <c r="I36" s="413">
        <f>SUM(I37:I41)</f>
        <v>-56498792.319998384</v>
      </c>
      <c r="J36" s="147"/>
      <c r="K36" s="313"/>
    </row>
    <row r="37" spans="2:13" x14ac:dyDescent="0.2">
      <c r="B37" s="84"/>
      <c r="C37" s="464" t="s">
        <v>786</v>
      </c>
      <c r="D37" s="464"/>
      <c r="E37" s="414">
        <v>0</v>
      </c>
      <c r="F37" s="414">
        <v>0</v>
      </c>
      <c r="G37" s="414">
        <f>+ESF!J51</f>
        <v>-42133210.119999886</v>
      </c>
      <c r="H37" s="414">
        <v>0</v>
      </c>
      <c r="I37" s="448">
        <f>SUM(E37:H37)</f>
        <v>-42133210.119999886</v>
      </c>
      <c r="J37" s="147"/>
      <c r="K37" s="313"/>
    </row>
    <row r="38" spans="2:13" x14ac:dyDescent="0.2">
      <c r="B38" s="84"/>
      <c r="C38" s="464" t="s">
        <v>733</v>
      </c>
      <c r="D38" s="464"/>
      <c r="E38" s="414">
        <v>0</v>
      </c>
      <c r="F38" s="414">
        <f>+ESF!J52-F20</f>
        <v>-98870513.059999108</v>
      </c>
      <c r="G38" s="414">
        <f>-G29</f>
        <v>84504930.86000061</v>
      </c>
      <c r="H38" s="414">
        <v>0</v>
      </c>
      <c r="I38" s="448">
        <f>SUM(E38:H38)</f>
        <v>-14365582.199998498</v>
      </c>
      <c r="J38" s="147"/>
      <c r="K38" s="313"/>
    </row>
    <row r="39" spans="2:13" x14ac:dyDescent="0.2">
      <c r="B39" s="84"/>
      <c r="C39" s="464" t="s">
        <v>787</v>
      </c>
      <c r="D39" s="464"/>
      <c r="E39" s="414">
        <v>0</v>
      </c>
      <c r="F39" s="414">
        <v>0</v>
      </c>
      <c r="G39" s="414">
        <f>-ESFD!H94+ESFD!G94</f>
        <v>0</v>
      </c>
      <c r="H39" s="414">
        <v>0</v>
      </c>
      <c r="I39" s="448">
        <f>SUM(E39:H39)</f>
        <v>0</v>
      </c>
      <c r="J39" s="147"/>
      <c r="K39" s="313"/>
    </row>
    <row r="40" spans="2:13" x14ac:dyDescent="0.2">
      <c r="B40" s="84"/>
      <c r="C40" s="464" t="s">
        <v>735</v>
      </c>
      <c r="D40" s="464"/>
      <c r="E40" s="414">
        <v>0</v>
      </c>
      <c r="F40" s="414">
        <v>0</v>
      </c>
      <c r="G40" s="414">
        <f>-ESFD!H95+ESFD!G95</f>
        <v>0</v>
      </c>
      <c r="H40" s="414">
        <v>0</v>
      </c>
      <c r="I40" s="448">
        <f>SUM(E40:H40)</f>
        <v>0</v>
      </c>
      <c r="J40" s="147"/>
      <c r="K40" s="313"/>
    </row>
    <row r="41" spans="2:13" x14ac:dyDescent="0.2">
      <c r="B41" s="84"/>
      <c r="C41" s="464" t="s">
        <v>736</v>
      </c>
      <c r="D41" s="464"/>
      <c r="E41" s="414">
        <v>0</v>
      </c>
      <c r="F41" s="414">
        <v>0</v>
      </c>
      <c r="G41" s="414">
        <f>-ESFD!H96+ESFD!G96</f>
        <v>0</v>
      </c>
      <c r="H41" s="414">
        <v>0</v>
      </c>
      <c r="I41" s="448">
        <f>SUM(E41:H41)</f>
        <v>0</v>
      </c>
      <c r="J41" s="147"/>
      <c r="K41" s="445"/>
    </row>
    <row r="42" spans="2:13" x14ac:dyDescent="0.2">
      <c r="B42" s="84"/>
      <c r="C42" s="446"/>
      <c r="D42" s="446"/>
      <c r="E42" s="414"/>
      <c r="F42" s="414"/>
      <c r="G42" s="414"/>
      <c r="H42" s="414"/>
      <c r="I42" s="448"/>
      <c r="J42" s="147"/>
      <c r="K42" s="445"/>
    </row>
    <row r="43" spans="2:13" x14ac:dyDescent="0.2">
      <c r="B43" s="88"/>
      <c r="C43" s="488" t="s">
        <v>1082</v>
      </c>
      <c r="D43" s="488"/>
      <c r="E43" s="413">
        <v>0</v>
      </c>
      <c r="F43" s="413">
        <v>0</v>
      </c>
      <c r="G43" s="413">
        <v>0</v>
      </c>
      <c r="H43" s="413">
        <f>SUM(H44:H45)</f>
        <v>0</v>
      </c>
      <c r="I43" s="413">
        <f>SUM(I44:I45)</f>
        <v>0</v>
      </c>
      <c r="J43" s="147"/>
      <c r="K43" s="445"/>
    </row>
    <row r="44" spans="2:13" x14ac:dyDescent="0.2">
      <c r="B44" s="84"/>
      <c r="C44" s="464" t="s">
        <v>738</v>
      </c>
      <c r="D44" s="464"/>
      <c r="E44" s="414">
        <v>0</v>
      </c>
      <c r="F44" s="414">
        <v>0</v>
      </c>
      <c r="G44" s="414">
        <v>0</v>
      </c>
      <c r="H44" s="414">
        <f>+ESF!K59-ESF!J59</f>
        <v>0</v>
      </c>
      <c r="I44" s="448">
        <f t="shared" ref="I44:I45" si="2">SUM(E44:H44)</f>
        <v>0</v>
      </c>
      <c r="J44" s="147"/>
      <c r="K44" s="445"/>
      <c r="M44" s="148"/>
    </row>
    <row r="45" spans="2:13" x14ac:dyDescent="0.2">
      <c r="B45" s="84"/>
      <c r="C45" s="464" t="s">
        <v>739</v>
      </c>
      <c r="D45" s="464"/>
      <c r="E45" s="414">
        <v>0</v>
      </c>
      <c r="F45" s="414">
        <v>0</v>
      </c>
      <c r="G45" s="414">
        <v>0</v>
      </c>
      <c r="H45" s="414">
        <f>+ESF!K60-ESF!J60</f>
        <v>0</v>
      </c>
      <c r="I45" s="448">
        <f t="shared" si="2"/>
        <v>0</v>
      </c>
      <c r="J45" s="147"/>
      <c r="K45" s="445"/>
      <c r="M45" s="148"/>
    </row>
    <row r="46" spans="2:13" ht="9.9499999999999993" customHeight="1" x14ac:dyDescent="0.2">
      <c r="B46" s="88"/>
      <c r="C46" s="324"/>
      <c r="D46" s="72"/>
      <c r="E46" s="414"/>
      <c r="F46" s="414"/>
      <c r="G46" s="414"/>
      <c r="H46" s="414"/>
      <c r="I46" s="448"/>
      <c r="J46" s="147"/>
      <c r="K46" s="313"/>
    </row>
    <row r="47" spans="2:13" x14ac:dyDescent="0.2">
      <c r="B47" s="149"/>
      <c r="C47" s="489" t="s">
        <v>1083</v>
      </c>
      <c r="D47" s="489"/>
      <c r="E47" s="450">
        <f>+E29+E31</f>
        <v>59622747.950000003</v>
      </c>
      <c r="F47" s="450">
        <f>+F29+F36</f>
        <v>837507742.88999987</v>
      </c>
      <c r="G47" s="450">
        <f>+G29+G36</f>
        <v>-42133210.119999886</v>
      </c>
      <c r="H47" s="450">
        <f>+H29+H43</f>
        <v>0</v>
      </c>
      <c r="I47" s="450">
        <f>I29+I31+I36+I43</f>
        <v>854997280.72000003</v>
      </c>
      <c r="J47" s="150"/>
      <c r="K47" s="313"/>
      <c r="M47" s="140"/>
    </row>
    <row r="48" spans="2:13" ht="15" customHeight="1" x14ac:dyDescent="0.2">
      <c r="B48" s="22"/>
      <c r="C48" s="470" t="s">
        <v>681</v>
      </c>
      <c r="D48" s="470"/>
      <c r="E48" s="470"/>
      <c r="F48" s="470"/>
      <c r="G48" s="470"/>
      <c r="H48" s="470"/>
      <c r="I48" s="470"/>
      <c r="J48" s="470"/>
      <c r="K48" s="320"/>
      <c r="L48" s="47"/>
    </row>
    <row r="49" spans="2:12" ht="15" customHeight="1" x14ac:dyDescent="0.2">
      <c r="B49" s="22"/>
      <c r="C49" s="320"/>
      <c r="D49" s="320"/>
      <c r="E49" s="320"/>
      <c r="F49" s="320"/>
      <c r="G49" s="320"/>
      <c r="H49" s="320"/>
      <c r="I49" s="320"/>
      <c r="J49" s="320"/>
      <c r="K49" s="320"/>
      <c r="L49" s="47"/>
    </row>
    <row r="50" spans="2:12" ht="15" customHeight="1" x14ac:dyDescent="0.2">
      <c r="B50" s="22"/>
      <c r="C50" s="320"/>
      <c r="D50" s="320"/>
      <c r="E50" s="320"/>
      <c r="F50" s="320"/>
      <c r="G50" s="320"/>
      <c r="H50" s="320"/>
      <c r="I50" s="320"/>
      <c r="J50" s="320"/>
      <c r="K50" s="320"/>
      <c r="L50" s="47"/>
    </row>
    <row r="51" spans="2:12" ht="9.75" customHeight="1" x14ac:dyDescent="0.2">
      <c r="B51" s="22"/>
      <c r="C51" s="47"/>
      <c r="D51" s="67"/>
      <c r="E51" s="68"/>
      <c r="F51" s="68"/>
      <c r="G51" s="22"/>
      <c r="H51" s="69"/>
      <c r="I51" s="67"/>
      <c r="J51" s="68"/>
      <c r="K51" s="68"/>
      <c r="L51" s="68"/>
    </row>
    <row r="52" spans="2:12" ht="50.1" customHeight="1" x14ac:dyDescent="0.2">
      <c r="B52" s="22"/>
      <c r="C52" s="47"/>
      <c r="D52" s="66"/>
      <c r="E52" s="70"/>
      <c r="F52" s="68"/>
      <c r="G52" s="22"/>
      <c r="H52" s="472"/>
      <c r="I52" s="472"/>
      <c r="J52" s="68"/>
      <c r="K52" s="68"/>
      <c r="L52" s="68"/>
    </row>
    <row r="53" spans="2:12" ht="14.1" customHeight="1" x14ac:dyDescent="0.2">
      <c r="B53" s="22"/>
      <c r="C53" s="71"/>
      <c r="D53" s="317" t="str">
        <f>ENTE!D10</f>
        <v>ING. ENRIQUE DE ECHAVARRI LARY</v>
      </c>
      <c r="E53" s="289"/>
      <c r="F53" s="68"/>
      <c r="G53" s="466" t="str">
        <f>ENTE!D14</f>
        <v>LIC. RICARDO SALVADOR BACA MUÑOZ</v>
      </c>
      <c r="H53" s="466"/>
      <c r="I53" s="466"/>
      <c r="J53" s="72"/>
      <c r="K53" s="72"/>
      <c r="L53" s="68"/>
    </row>
    <row r="54" spans="2:12" ht="14.1" customHeight="1" x14ac:dyDescent="0.2">
      <c r="B54" s="22"/>
      <c r="C54" s="73"/>
      <c r="D54" s="318" t="str">
        <f>ENTE!D12</f>
        <v>COORDINADOR GENERAL</v>
      </c>
      <c r="E54" s="290"/>
      <c r="F54" s="74"/>
      <c r="G54" s="467" t="str">
        <f>ENTE!D16</f>
        <v>DIRECTOR DE ADMINISTRACIÓN</v>
      </c>
      <c r="H54" s="467"/>
      <c r="I54" s="467"/>
      <c r="J54" s="72"/>
      <c r="K54" s="72"/>
      <c r="L54" s="68"/>
    </row>
  </sheetData>
  <sheetProtection password="88C8" sheet="1" objects="1" scenarios="1" selectLockedCells="1"/>
  <mergeCells count="38">
    <mergeCell ref="C2:I2"/>
    <mergeCell ref="C14:D14"/>
    <mergeCell ref="C3:J3"/>
    <mergeCell ref="C4:J4"/>
    <mergeCell ref="C5:J5"/>
    <mergeCell ref="C10:D10"/>
    <mergeCell ref="C13:D13"/>
    <mergeCell ref="D7:H7"/>
    <mergeCell ref="C34:D34"/>
    <mergeCell ref="C15:D15"/>
    <mergeCell ref="C16:D16"/>
    <mergeCell ref="C18:D18"/>
    <mergeCell ref="C19:D19"/>
    <mergeCell ref="C20:D20"/>
    <mergeCell ref="C21:D21"/>
    <mergeCell ref="C22:D22"/>
    <mergeCell ref="C29:D29"/>
    <mergeCell ref="C31:D31"/>
    <mergeCell ref="C32:D32"/>
    <mergeCell ref="C33:D33"/>
    <mergeCell ref="C23:D23"/>
    <mergeCell ref="C25:D25"/>
    <mergeCell ref="C26:D26"/>
    <mergeCell ref="C27:D27"/>
    <mergeCell ref="G54:I54"/>
    <mergeCell ref="C36:D36"/>
    <mergeCell ref="C37:D37"/>
    <mergeCell ref="C38:D38"/>
    <mergeCell ref="C39:D39"/>
    <mergeCell ref="C40:D40"/>
    <mergeCell ref="C47:D47"/>
    <mergeCell ref="C48:J48"/>
    <mergeCell ref="H52:I52"/>
    <mergeCell ref="G53:I53"/>
    <mergeCell ref="C41:D41"/>
    <mergeCell ref="C43:D43"/>
    <mergeCell ref="C44:D44"/>
    <mergeCell ref="C45:D4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headerFooter>
    <oddFooter>&amp;C&amp;A&amp;RPágina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B2:M63"/>
  <sheetViews>
    <sheetView showGridLines="0" view="pageBreakPreview" topLeftCell="B26" zoomScale="90" zoomScaleNormal="85" zoomScaleSheetLayoutView="90" zoomScalePageLayoutView="80" workbookViewId="0">
      <selection activeCell="H36" sqref="H36:I36"/>
    </sheetView>
  </sheetViews>
  <sheetFormatPr baseColWidth="10" defaultRowHeight="12" x14ac:dyDescent="0.2"/>
  <cols>
    <col min="1" max="1" width="1.85546875" style="23" customWidth="1"/>
    <col min="2" max="2" width="4.5703125" style="23" customWidth="1"/>
    <col min="3" max="3" width="24.7109375" style="23" customWidth="1"/>
    <col min="4" max="4" width="29.85546875" style="23" customWidth="1"/>
    <col min="5" max="5" width="15.7109375" style="23" customWidth="1"/>
    <col min="6" max="6" width="15.42578125" style="23" customWidth="1"/>
    <col min="7" max="7" width="10.7109375" style="23" customWidth="1"/>
    <col min="8" max="8" width="24.7109375" style="23" customWidth="1"/>
    <col min="9" max="9" width="29.7109375" style="103" customWidth="1"/>
    <col min="10" max="11" width="18.7109375" style="23" customWidth="1"/>
    <col min="12" max="12" width="4.5703125" style="23" customWidth="1"/>
    <col min="13" max="13" width="2" style="23" customWidth="1"/>
    <col min="14" max="16384" width="11.42578125" style="23"/>
  </cols>
  <sheetData>
    <row r="2" spans="2:13" ht="12" hidden="1" customHeight="1" x14ac:dyDescent="0.2">
      <c r="B2" s="206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206"/>
    </row>
    <row r="3" spans="2:13" ht="12" customHeight="1" x14ac:dyDescent="0.2">
      <c r="B3" s="101"/>
      <c r="C3" s="475" t="s">
        <v>743</v>
      </c>
      <c r="D3" s="475"/>
      <c r="E3" s="475"/>
      <c r="F3" s="475"/>
      <c r="G3" s="475"/>
      <c r="H3" s="475"/>
      <c r="I3" s="475"/>
      <c r="J3" s="475"/>
      <c r="K3" s="475"/>
      <c r="L3" s="475"/>
    </row>
    <row r="4" spans="2:13" ht="12" customHeight="1" x14ac:dyDescent="0.2">
      <c r="B4" s="314"/>
      <c r="C4" s="475" t="str">
        <f>"Del "&amp;TEXT(INDEX(Periodos,ENTE!D18,1),"dd")&amp;" de "&amp;TEXT(INDEX(Periodos,ENTE!D18,1),"mmmm")&amp;" de 2017 al " &amp;TEXT(INDEX(Periodos,ENTE!D18,1),"dd")&amp;" de "&amp;TEXT(INDEX(Periodos,ENTE!D18,1),"mmmm")&amp;" de "&amp;TEXT(INDEX(Periodos,ENTE!D18,1),"aaaa")</f>
        <v>Del 31 de diciembre de 2017 al 31 de diciembre de 2018</v>
      </c>
      <c r="D4" s="475"/>
      <c r="E4" s="475"/>
      <c r="F4" s="475"/>
      <c r="G4" s="475"/>
      <c r="H4" s="475"/>
      <c r="I4" s="475"/>
      <c r="J4" s="475"/>
      <c r="K4" s="475"/>
      <c r="L4" s="475"/>
    </row>
    <row r="5" spans="2:13" ht="12" customHeight="1" x14ac:dyDescent="0.2">
      <c r="B5" s="314"/>
      <c r="C5" s="475" t="s">
        <v>624</v>
      </c>
      <c r="D5" s="475"/>
      <c r="E5" s="475"/>
      <c r="F5" s="475"/>
      <c r="G5" s="475"/>
      <c r="H5" s="475"/>
      <c r="I5" s="475"/>
      <c r="J5" s="475"/>
      <c r="K5" s="475"/>
      <c r="L5" s="475"/>
    </row>
    <row r="6" spans="2:13" ht="12" customHeight="1" x14ac:dyDescent="0.2"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</row>
    <row r="7" spans="2:13" ht="12" customHeight="1" x14ac:dyDescent="0.2">
      <c r="B7" s="314"/>
      <c r="C7" s="325" t="s">
        <v>6</v>
      </c>
      <c r="D7" s="477" t="str">
        <f>ENTE!D8</f>
        <v>UNIDAD DE SERVICIOS PARA LA EDUCACIÓN BÁSICA EN EL ESTADO DE QUERÉTARO</v>
      </c>
      <c r="E7" s="477"/>
      <c r="F7" s="477"/>
      <c r="G7" s="477"/>
      <c r="H7" s="477"/>
      <c r="I7" s="477"/>
      <c r="J7" s="477"/>
      <c r="K7" s="116"/>
      <c r="L7" s="116"/>
    </row>
    <row r="8" spans="2:13" ht="3" customHeight="1" x14ac:dyDescent="0.2">
      <c r="B8" s="102"/>
      <c r="C8" s="102"/>
      <c r="D8" s="102"/>
      <c r="E8" s="102"/>
      <c r="F8" s="102"/>
      <c r="G8" s="102"/>
    </row>
    <row r="9" spans="2:13" s="22" customFormat="1" ht="3" customHeight="1" x14ac:dyDescent="0.2">
      <c r="B9" s="314"/>
      <c r="C9" s="27"/>
      <c r="D9" s="27"/>
      <c r="E9" s="27"/>
      <c r="F9" s="27"/>
      <c r="G9" s="332"/>
      <c r="I9" s="104"/>
    </row>
    <row r="10" spans="2:13" s="22" customFormat="1" ht="3" customHeight="1" x14ac:dyDescent="0.2">
      <c r="B10" s="29"/>
      <c r="C10" s="29"/>
      <c r="D10" s="29"/>
      <c r="E10" s="30"/>
      <c r="F10" s="30"/>
      <c r="G10" s="331"/>
      <c r="I10" s="104"/>
    </row>
    <row r="11" spans="2:13" s="22" customFormat="1" ht="20.100000000000001" customHeight="1" x14ac:dyDescent="0.2">
      <c r="B11" s="171"/>
      <c r="C11" s="479" t="s">
        <v>625</v>
      </c>
      <c r="D11" s="479"/>
      <c r="E11" s="172" t="s">
        <v>744</v>
      </c>
      <c r="F11" s="172" t="s">
        <v>745</v>
      </c>
      <c r="G11" s="323"/>
      <c r="H11" s="479" t="s">
        <v>625</v>
      </c>
      <c r="I11" s="479"/>
      <c r="J11" s="172" t="s">
        <v>744</v>
      </c>
      <c r="K11" s="172" t="s">
        <v>745</v>
      </c>
      <c r="L11" s="174"/>
    </row>
    <row r="12" spans="2:13" ht="3" customHeight="1" x14ac:dyDescent="0.2">
      <c r="B12" s="32"/>
      <c r="C12" s="33"/>
      <c r="D12" s="33"/>
      <c r="E12" s="34"/>
      <c r="F12" s="34"/>
      <c r="G12" s="28"/>
      <c r="H12" s="22"/>
      <c r="I12" s="104"/>
      <c r="J12" s="22"/>
      <c r="K12" s="22"/>
      <c r="L12" s="35"/>
    </row>
    <row r="13" spans="2:13" s="22" customFormat="1" ht="3" customHeight="1" x14ac:dyDescent="0.2">
      <c r="B13" s="84"/>
      <c r="C13" s="105"/>
      <c r="D13" s="105"/>
      <c r="E13" s="106"/>
      <c r="F13" s="106"/>
      <c r="G13" s="38"/>
      <c r="I13" s="104"/>
      <c r="L13" s="35"/>
    </row>
    <row r="14" spans="2:13" x14ac:dyDescent="0.2">
      <c r="B14" s="44"/>
      <c r="C14" s="463" t="s">
        <v>685</v>
      </c>
      <c r="D14" s="463"/>
      <c r="E14" s="107">
        <f>E16+E26</f>
        <v>65250005.959999979</v>
      </c>
      <c r="F14" s="107">
        <f>F16+F26</f>
        <v>34461768.970000118</v>
      </c>
      <c r="G14" s="38"/>
      <c r="H14" s="463" t="s">
        <v>686</v>
      </c>
      <c r="I14" s="463"/>
      <c r="J14" s="107">
        <f>J16+J27</f>
        <v>0</v>
      </c>
      <c r="K14" s="107">
        <f>K16+K27</f>
        <v>5773334.5300000003</v>
      </c>
      <c r="L14" s="35"/>
    </row>
    <row r="15" spans="2:13" x14ac:dyDescent="0.2">
      <c r="B15" s="41"/>
      <c r="C15" s="313"/>
      <c r="D15" s="72"/>
      <c r="E15" s="108"/>
      <c r="F15" s="108"/>
      <c r="G15" s="38"/>
      <c r="H15" s="313"/>
      <c r="I15" s="313"/>
      <c r="J15" s="108"/>
      <c r="K15" s="108"/>
      <c r="L15" s="35"/>
    </row>
    <row r="16" spans="2:13" x14ac:dyDescent="0.2">
      <c r="B16" s="41"/>
      <c r="C16" s="463" t="s">
        <v>687</v>
      </c>
      <c r="D16" s="463"/>
      <c r="E16" s="107">
        <f>SUM(E18:E24)</f>
        <v>7876897.370000001</v>
      </c>
      <c r="F16" s="107">
        <f>SUM(F18:F24)</f>
        <v>18044248.59</v>
      </c>
      <c r="G16" s="38"/>
      <c r="H16" s="463" t="s">
        <v>688</v>
      </c>
      <c r="I16" s="463"/>
      <c r="J16" s="107">
        <f>SUM(J18:J25)</f>
        <v>0</v>
      </c>
      <c r="K16" s="107">
        <f>SUM(K18:K25)</f>
        <v>5773334.5300000003</v>
      </c>
      <c r="L16" s="35"/>
    </row>
    <row r="17" spans="2:12" x14ac:dyDescent="0.2">
      <c r="B17" s="41"/>
      <c r="C17" s="313"/>
      <c r="D17" s="72"/>
      <c r="E17" s="108"/>
      <c r="F17" s="108"/>
      <c r="G17" s="38"/>
      <c r="H17" s="313"/>
      <c r="I17" s="313"/>
      <c r="J17" s="108"/>
      <c r="K17" s="108"/>
      <c r="L17" s="35"/>
    </row>
    <row r="18" spans="2:12" x14ac:dyDescent="0.2">
      <c r="B18" s="44"/>
      <c r="C18" s="464" t="s">
        <v>689</v>
      </c>
      <c r="D18" s="464"/>
      <c r="E18" s="109">
        <f>IF(ESF!E17&lt;ESF!F17,ESF!F17-ESF!E17,0)</f>
        <v>3923835.1900000013</v>
      </c>
      <c r="F18" s="109">
        <f>IF(E18&gt;0,0,ESF!E17-ESF!F17)</f>
        <v>0</v>
      </c>
      <c r="G18" s="38"/>
      <c r="H18" s="464" t="s">
        <v>690</v>
      </c>
      <c r="I18" s="464"/>
      <c r="J18" s="109">
        <f>IF(ESF!J17&gt;ESF!K17,ESF!J17-ESF!K17,0)</f>
        <v>0</v>
      </c>
      <c r="K18" s="109">
        <f>IF(J18&gt;0,0,ESF!K17-ESF!J17)</f>
        <v>2444483.6500000004</v>
      </c>
      <c r="L18" s="35"/>
    </row>
    <row r="19" spans="2:12" x14ac:dyDescent="0.2">
      <c r="B19" s="44"/>
      <c r="C19" s="464" t="s">
        <v>691</v>
      </c>
      <c r="D19" s="464"/>
      <c r="E19" s="109">
        <f>IF(ESF!E18&lt;ESF!F18,ESF!F18-ESF!E18,0)</f>
        <v>3953062.1799999992</v>
      </c>
      <c r="F19" s="109">
        <f>IF(E19&gt;0,0,ESF!E18-ESF!F18)</f>
        <v>0</v>
      </c>
      <c r="G19" s="38"/>
      <c r="H19" s="464" t="s">
        <v>692</v>
      </c>
      <c r="I19" s="464"/>
      <c r="J19" s="109">
        <f>IF(ESF!J18&gt;ESF!K18,ESF!J18-ESF!K18,0)</f>
        <v>0</v>
      </c>
      <c r="K19" s="109">
        <f>IF(J19&gt;0,0,ESF!K18-ESF!J18)</f>
        <v>3328850.88</v>
      </c>
      <c r="L19" s="35"/>
    </row>
    <row r="20" spans="2:12" x14ac:dyDescent="0.2">
      <c r="B20" s="44"/>
      <c r="C20" s="464" t="s">
        <v>693</v>
      </c>
      <c r="D20" s="464"/>
      <c r="E20" s="109">
        <f>IF(ESF!E19&lt;ESF!F19,ESF!F19-ESF!E19,0)</f>
        <v>0</v>
      </c>
      <c r="F20" s="109">
        <f>IF(E20&gt;0,0,ESF!E19-ESF!F19)</f>
        <v>0</v>
      </c>
      <c r="G20" s="38"/>
      <c r="H20" s="464" t="s">
        <v>694</v>
      </c>
      <c r="I20" s="464"/>
      <c r="J20" s="109">
        <f>IF(ESF!J19&gt;ESF!K19,ESF!J19-ESF!K19,0)</f>
        <v>0</v>
      </c>
      <c r="K20" s="109">
        <f>IF(J20&gt;0,0,ESF!K19-ESF!J19)</f>
        <v>0</v>
      </c>
      <c r="L20" s="35"/>
    </row>
    <row r="21" spans="2:12" x14ac:dyDescent="0.2">
      <c r="B21" s="44"/>
      <c r="C21" s="464" t="s">
        <v>695</v>
      </c>
      <c r="D21" s="464"/>
      <c r="E21" s="109">
        <f>IF(ESF!E20&lt;ESF!F20,ESF!F20-ESF!E20,0)</f>
        <v>0</v>
      </c>
      <c r="F21" s="109">
        <f>IF(E21&gt;0,0,ESF!E20-ESF!F20)</f>
        <v>0</v>
      </c>
      <c r="G21" s="38"/>
      <c r="H21" s="464" t="s">
        <v>696</v>
      </c>
      <c r="I21" s="464"/>
      <c r="J21" s="109">
        <f>IF(ESF!J20&gt;ESF!K20,ESF!J20-ESF!K20,0)</f>
        <v>0</v>
      </c>
      <c r="K21" s="109">
        <f>IF(J21&gt;0,0,ESF!K20-ESF!J20)</f>
        <v>0</v>
      </c>
      <c r="L21" s="35"/>
    </row>
    <row r="22" spans="2:12" x14ac:dyDescent="0.2">
      <c r="B22" s="44"/>
      <c r="C22" s="464" t="s">
        <v>697</v>
      </c>
      <c r="D22" s="464"/>
      <c r="E22" s="109">
        <f>IF(ESF!E21&lt;ESF!F21,ESF!F21-ESF!E21,0)</f>
        <v>0</v>
      </c>
      <c r="F22" s="109">
        <f>IF(E22&gt;0,0,ESF!E21-ESF!F21)</f>
        <v>18044248.59</v>
      </c>
      <c r="G22" s="38"/>
      <c r="H22" s="464" t="s">
        <v>698</v>
      </c>
      <c r="I22" s="464"/>
      <c r="J22" s="109">
        <f>IF(ESF!J21&gt;ESF!K21,ESF!J21-ESF!K21,0)</f>
        <v>0</v>
      </c>
      <c r="K22" s="109">
        <f>IF(J22&gt;0,0,ESF!K21-ESF!J21)</f>
        <v>0</v>
      </c>
      <c r="L22" s="35"/>
    </row>
    <row r="23" spans="2:12" ht="25.5" customHeight="1" x14ac:dyDescent="0.2">
      <c r="B23" s="44"/>
      <c r="C23" s="464" t="s">
        <v>699</v>
      </c>
      <c r="D23" s="464"/>
      <c r="E23" s="109">
        <f>IF(ESF!E22&lt;ESF!F22,ESF!F22-ESF!E22,0)</f>
        <v>0</v>
      </c>
      <c r="F23" s="109">
        <f>IF(E23&gt;0,0,ESF!E22-ESF!F22)</f>
        <v>0</v>
      </c>
      <c r="G23" s="38"/>
      <c r="H23" s="465" t="s">
        <v>700</v>
      </c>
      <c r="I23" s="465"/>
      <c r="J23" s="109">
        <f>IF(ESF!J22&gt;ESF!K22,ESF!J22-ESF!K22,0)</f>
        <v>0</v>
      </c>
      <c r="K23" s="109">
        <f>IF(J23&gt;0,0,ESF!K22-ESF!J22)</f>
        <v>0</v>
      </c>
      <c r="L23" s="35"/>
    </row>
    <row r="24" spans="2:12" x14ac:dyDescent="0.2">
      <c r="B24" s="44"/>
      <c r="C24" s="464" t="s">
        <v>701</v>
      </c>
      <c r="D24" s="464"/>
      <c r="E24" s="109">
        <f>IF(ESF!E23&lt;ESF!F23,ESF!F23-ESF!E23,0)</f>
        <v>0</v>
      </c>
      <c r="F24" s="109">
        <f>IF(E24&gt;0,0,ESF!E23-ESF!F23)</f>
        <v>0</v>
      </c>
      <c r="G24" s="38"/>
      <c r="H24" s="464" t="s">
        <v>702</v>
      </c>
      <c r="I24" s="464"/>
      <c r="J24" s="109">
        <f>IF(ESF!J23&gt;ESF!K23,ESF!J23-ESF!K23,0)</f>
        <v>0</v>
      </c>
      <c r="K24" s="109">
        <f>IF(J24&gt;0,0,ESF!K23-ESF!J23)</f>
        <v>0</v>
      </c>
      <c r="L24" s="35"/>
    </row>
    <row r="25" spans="2:12" x14ac:dyDescent="0.2">
      <c r="B25" s="41"/>
      <c r="C25" s="313"/>
      <c r="D25" s="72"/>
      <c r="E25" s="108"/>
      <c r="F25" s="108"/>
      <c r="G25" s="38"/>
      <c r="H25" s="464" t="s">
        <v>703</v>
      </c>
      <c r="I25" s="464"/>
      <c r="J25" s="109">
        <f>IF(ESF!J24&gt;ESF!K24,ESF!J24-ESF!K24,0)</f>
        <v>0</v>
      </c>
      <c r="K25" s="109">
        <f>IF(J25&gt;0,0,ESF!K24-ESF!J24)</f>
        <v>0</v>
      </c>
      <c r="L25" s="35"/>
    </row>
    <row r="26" spans="2:12" x14ac:dyDescent="0.2">
      <c r="B26" s="41"/>
      <c r="C26" s="463" t="s">
        <v>706</v>
      </c>
      <c r="D26" s="463"/>
      <c r="E26" s="107">
        <f>SUM(E28:E36)</f>
        <v>57373108.589999974</v>
      </c>
      <c r="F26" s="107">
        <f>SUM(F28:F36)</f>
        <v>16417520.380000114</v>
      </c>
      <c r="G26" s="38"/>
      <c r="H26" s="313"/>
      <c r="I26" s="313"/>
      <c r="J26" s="108"/>
      <c r="K26" s="108"/>
      <c r="L26" s="35"/>
    </row>
    <row r="27" spans="2:12" x14ac:dyDescent="0.2">
      <c r="B27" s="41"/>
      <c r="C27" s="313"/>
      <c r="D27" s="72"/>
      <c r="E27" s="108"/>
      <c r="F27" s="108"/>
      <c r="G27" s="38"/>
      <c r="H27" s="468" t="s">
        <v>707</v>
      </c>
      <c r="I27" s="468"/>
      <c r="J27" s="107">
        <f>SUM(J29:J34)</f>
        <v>0</v>
      </c>
      <c r="K27" s="107">
        <f>SUM(K29:K34)</f>
        <v>0</v>
      </c>
      <c r="L27" s="35"/>
    </row>
    <row r="28" spans="2:12" x14ac:dyDescent="0.2">
      <c r="B28" s="44"/>
      <c r="C28" s="464" t="s">
        <v>708</v>
      </c>
      <c r="D28" s="464"/>
      <c r="E28" s="109">
        <f>IF(ESF!E30&lt;ESF!F30,ESF!F30-ESF!E30,0)</f>
        <v>0</v>
      </c>
      <c r="F28" s="109">
        <f>IF(E28&gt;0,0,ESF!E30-ESF!F30)</f>
        <v>0</v>
      </c>
      <c r="G28" s="38"/>
      <c r="H28" s="313"/>
      <c r="I28" s="313"/>
      <c r="J28" s="108"/>
      <c r="K28" s="108"/>
      <c r="L28" s="35"/>
    </row>
    <row r="29" spans="2:12" x14ac:dyDescent="0.2">
      <c r="B29" s="44"/>
      <c r="C29" s="464" t="s">
        <v>710</v>
      </c>
      <c r="D29" s="464"/>
      <c r="E29" s="109">
        <f>IF(ESF!E31&lt;ESF!F31,ESF!F31-ESF!E31,0)</f>
        <v>0</v>
      </c>
      <c r="F29" s="109">
        <f>IF(E29&gt;0,0,ESF!E31-ESF!F31)</f>
        <v>0</v>
      </c>
      <c r="G29" s="38"/>
      <c r="H29" s="464" t="s">
        <v>709</v>
      </c>
      <c r="I29" s="464"/>
      <c r="J29" s="109">
        <f>IF(ESF!J30&gt;ESF!K30,ESF!J30-ESF!K30,0)</f>
        <v>0</v>
      </c>
      <c r="K29" s="109">
        <f>IF(J29&gt;0,0,ESF!K30-ESF!J30)</f>
        <v>0</v>
      </c>
      <c r="L29" s="35"/>
    </row>
    <row r="30" spans="2:12" x14ac:dyDescent="0.2">
      <c r="B30" s="44"/>
      <c r="C30" s="464" t="s">
        <v>712</v>
      </c>
      <c r="D30" s="464"/>
      <c r="E30" s="109">
        <f>IF(ESF!E32&lt;ESF!F32,ESF!F32-ESF!E32,0)</f>
        <v>12579905.75999999</v>
      </c>
      <c r="F30" s="109">
        <f>IF(E30&gt;0,0,ESF!E32-ESF!F32)</f>
        <v>0</v>
      </c>
      <c r="G30" s="38"/>
      <c r="H30" s="464" t="s">
        <v>711</v>
      </c>
      <c r="I30" s="464"/>
      <c r="J30" s="109">
        <f>IF(ESF!J31&gt;ESF!K31,ESF!J31-ESF!K31,0)</f>
        <v>0</v>
      </c>
      <c r="K30" s="109">
        <f>IF(J30&gt;0,0,ESF!K31-ESF!J31)</f>
        <v>0</v>
      </c>
      <c r="L30" s="35"/>
    </row>
    <row r="31" spans="2:12" x14ac:dyDescent="0.2">
      <c r="B31" s="44"/>
      <c r="C31" s="464" t="s">
        <v>714</v>
      </c>
      <c r="D31" s="464"/>
      <c r="E31" s="109">
        <f>IF(ESF!E33&lt;ESF!F33,ESF!F33-ESF!E33,0)</f>
        <v>0</v>
      </c>
      <c r="F31" s="109">
        <f>IF(E31&gt;0,0,ESF!E33-ESF!F33)</f>
        <v>16417520.380000114</v>
      </c>
      <c r="G31" s="38"/>
      <c r="H31" s="464" t="s">
        <v>713</v>
      </c>
      <c r="I31" s="464"/>
      <c r="J31" s="109">
        <f>IF(ESF!J32&gt;ESF!K32,ESF!J32-ESF!K32,0)</f>
        <v>0</v>
      </c>
      <c r="K31" s="109">
        <f>IF(J31&gt;0,0,ESF!K32-ESF!J32)</f>
        <v>0</v>
      </c>
      <c r="L31" s="35"/>
    </row>
    <row r="32" spans="2:12" x14ac:dyDescent="0.2">
      <c r="B32" s="44"/>
      <c r="C32" s="464" t="s">
        <v>716</v>
      </c>
      <c r="D32" s="464"/>
      <c r="E32" s="109">
        <f>IF(ESF!E34&lt;ESF!F34,ESF!F34-ESF!E34,0)</f>
        <v>12529874.220000003</v>
      </c>
      <c r="F32" s="109">
        <f>IF(E32&gt;0,0,ESF!E34-ESF!F34)</f>
        <v>0</v>
      </c>
      <c r="G32" s="38"/>
      <c r="H32" s="464" t="s">
        <v>715</v>
      </c>
      <c r="I32" s="464"/>
      <c r="J32" s="109">
        <f>IF(ESF!J33&gt;ESF!K33,ESF!J33-ESF!K33,0)</f>
        <v>0</v>
      </c>
      <c r="K32" s="109">
        <f>IF(J32&gt;0,0,ESF!K33-ESF!J33)</f>
        <v>0</v>
      </c>
      <c r="L32" s="35"/>
    </row>
    <row r="33" spans="2:12" ht="26.1" customHeight="1" x14ac:dyDescent="0.2">
      <c r="B33" s="44"/>
      <c r="C33" s="465" t="s">
        <v>718</v>
      </c>
      <c r="D33" s="465"/>
      <c r="E33" s="109">
        <f>IF(ESF!E35&lt;ESF!F35,ESF!F35-ESF!E35,0)</f>
        <v>32263328.609999985</v>
      </c>
      <c r="F33" s="109">
        <f>IF(E33&gt;0,0,ESF!E35-ESF!F35)</f>
        <v>0</v>
      </c>
      <c r="G33" s="38"/>
      <c r="H33" s="465" t="s">
        <v>717</v>
      </c>
      <c r="I33" s="465"/>
      <c r="J33" s="109">
        <f>IF(ESF!J34&gt;ESF!K34,ESF!J34-ESF!K34,0)</f>
        <v>0</v>
      </c>
      <c r="K33" s="109">
        <f>IF(J33&gt;0,0,ESF!K34-ESF!J34)</f>
        <v>0</v>
      </c>
      <c r="L33" s="35"/>
    </row>
    <row r="34" spans="2:12" x14ac:dyDescent="0.2">
      <c r="B34" s="44"/>
      <c r="C34" s="464" t="s">
        <v>720</v>
      </c>
      <c r="D34" s="464"/>
      <c r="E34" s="109">
        <f>IF(ESF!E36&lt;ESF!F36,ESF!F36-ESF!E36,0)</f>
        <v>0</v>
      </c>
      <c r="F34" s="109">
        <f>IF(E34&gt;0,0,ESF!E36-ESF!F36)</f>
        <v>0</v>
      </c>
      <c r="G34" s="38"/>
      <c r="H34" s="464" t="s">
        <v>719</v>
      </c>
      <c r="I34" s="464"/>
      <c r="J34" s="109">
        <f>IF(ESF!J35&gt;ESF!K35,ESF!J35-ESF!K35,0)</f>
        <v>0</v>
      </c>
      <c r="K34" s="109">
        <f>IF(J34&gt;0,0,ESF!K35-ESF!J35)</f>
        <v>0</v>
      </c>
      <c r="L34" s="35"/>
    </row>
    <row r="35" spans="2:12" ht="25.5" customHeight="1" x14ac:dyDescent="0.2">
      <c r="B35" s="44"/>
      <c r="C35" s="465" t="s">
        <v>721</v>
      </c>
      <c r="D35" s="465"/>
      <c r="E35" s="109">
        <f>IF(ESF!E37&lt;ESF!F37,ESF!F37-ESF!E37,0)</f>
        <v>0</v>
      </c>
      <c r="F35" s="109">
        <f>IF(E35&gt;0,0,ESF!E37-ESF!F37)</f>
        <v>0</v>
      </c>
      <c r="G35" s="38"/>
      <c r="H35" s="313"/>
      <c r="I35" s="313"/>
      <c r="J35" s="106"/>
      <c r="K35" s="106"/>
      <c r="L35" s="35"/>
    </row>
    <row r="36" spans="2:12" x14ac:dyDescent="0.2">
      <c r="B36" s="44"/>
      <c r="C36" s="464" t="s">
        <v>723</v>
      </c>
      <c r="D36" s="464"/>
      <c r="E36" s="109">
        <f>IF(ESF!E38&lt;ESF!F38,ESF!F38-ESF!E38,0)</f>
        <v>0</v>
      </c>
      <c r="F36" s="109">
        <f>IF(E36&gt;0,0,ESF!E38-ESF!F38)</f>
        <v>0</v>
      </c>
      <c r="G36" s="38"/>
      <c r="H36" s="463" t="s">
        <v>726</v>
      </c>
      <c r="I36" s="463"/>
      <c r="J36" s="107">
        <f>J38+J44+J52</f>
        <v>73855610.590000495</v>
      </c>
      <c r="K36" s="107">
        <f>K38+K44+K52</f>
        <v>98870513.050000191</v>
      </c>
      <c r="L36" s="35"/>
    </row>
    <row r="37" spans="2:12" x14ac:dyDescent="0.2">
      <c r="B37" s="41"/>
      <c r="C37" s="313"/>
      <c r="D37" s="72"/>
      <c r="E37" s="106"/>
      <c r="F37" s="106"/>
      <c r="G37" s="38"/>
      <c r="H37" s="313"/>
      <c r="I37" s="313"/>
      <c r="J37" s="108"/>
      <c r="K37" s="108"/>
      <c r="L37" s="35"/>
    </row>
    <row r="38" spans="2:12" x14ac:dyDescent="0.2">
      <c r="B38" s="44"/>
      <c r="C38" s="22"/>
      <c r="D38" s="22"/>
      <c r="E38" s="22"/>
      <c r="F38" s="22"/>
      <c r="G38" s="38"/>
      <c r="H38" s="463" t="s">
        <v>728</v>
      </c>
      <c r="I38" s="463"/>
      <c r="J38" s="107">
        <f>SUM(J40:J42)</f>
        <v>31483889.860000003</v>
      </c>
      <c r="K38" s="107">
        <f>SUM(K40:K42)</f>
        <v>0</v>
      </c>
      <c r="L38" s="35"/>
    </row>
    <row r="39" spans="2:12" x14ac:dyDescent="0.2">
      <c r="B39" s="41"/>
      <c r="C39" s="22"/>
      <c r="D39" s="22"/>
      <c r="E39" s="22"/>
      <c r="F39" s="22"/>
      <c r="G39" s="38"/>
      <c r="H39" s="313"/>
      <c r="I39" s="313"/>
      <c r="J39" s="108"/>
      <c r="K39" s="108"/>
      <c r="L39" s="35"/>
    </row>
    <row r="40" spans="2:12" x14ac:dyDescent="0.2">
      <c r="B40" s="44"/>
      <c r="C40" s="22"/>
      <c r="D40" s="22"/>
      <c r="E40" s="22"/>
      <c r="F40" s="22"/>
      <c r="G40" s="38"/>
      <c r="H40" s="464" t="s">
        <v>660</v>
      </c>
      <c r="I40" s="464"/>
      <c r="J40" s="109">
        <f>IF(ESF!J45&gt;ESF!K45,ESF!J45-ESF!K45,0)</f>
        <v>0</v>
      </c>
      <c r="K40" s="109">
        <f>IF(J40&gt;0,0,ESF!K45-ESF!J45)</f>
        <v>0</v>
      </c>
      <c r="L40" s="35"/>
    </row>
    <row r="41" spans="2:12" x14ac:dyDescent="0.2">
      <c r="B41" s="41"/>
      <c r="C41" s="22"/>
      <c r="D41" s="22"/>
      <c r="E41" s="22"/>
      <c r="F41" s="22"/>
      <c r="G41" s="38"/>
      <c r="H41" s="464" t="s">
        <v>729</v>
      </c>
      <c r="I41" s="464"/>
      <c r="J41" s="109">
        <f>IF(ESF!J46&gt;ESF!K46,ESF!J46-ESF!K46,0)</f>
        <v>31483889.860000003</v>
      </c>
      <c r="K41" s="109">
        <f>IF(J41&gt;0,0,ESF!K46-ESF!J46)</f>
        <v>0</v>
      </c>
      <c r="L41" s="35"/>
    </row>
    <row r="42" spans="2:12" x14ac:dyDescent="0.2">
      <c r="B42" s="44"/>
      <c r="C42" s="22"/>
      <c r="D42" s="22"/>
      <c r="E42" s="22"/>
      <c r="F42" s="22"/>
      <c r="G42" s="38"/>
      <c r="H42" s="464" t="s">
        <v>730</v>
      </c>
      <c r="I42" s="464"/>
      <c r="J42" s="109">
        <f>IF(ESF!J47&gt;ESF!K47,ESF!J47-ESF!K47,0)</f>
        <v>0</v>
      </c>
      <c r="K42" s="109">
        <f>IF(J42&gt;0,0,ESF!K47-ESF!J47)</f>
        <v>0</v>
      </c>
      <c r="L42" s="35"/>
    </row>
    <row r="43" spans="2:12" x14ac:dyDescent="0.2">
      <c r="B43" s="44"/>
      <c r="C43" s="22"/>
      <c r="D43" s="22"/>
      <c r="E43" s="22"/>
      <c r="F43" s="22"/>
      <c r="G43" s="38"/>
      <c r="H43" s="313"/>
      <c r="I43" s="313"/>
      <c r="J43" s="108"/>
      <c r="K43" s="108"/>
      <c r="L43" s="35"/>
    </row>
    <row r="44" spans="2:12" x14ac:dyDescent="0.2">
      <c r="B44" s="44"/>
      <c r="C44" s="22"/>
      <c r="D44" s="22"/>
      <c r="E44" s="22"/>
      <c r="F44" s="22"/>
      <c r="G44" s="38"/>
      <c r="H44" s="463" t="s">
        <v>731</v>
      </c>
      <c r="I44" s="463"/>
      <c r="J44" s="107">
        <f>SUM(J46:J50)</f>
        <v>42371720.730000496</v>
      </c>
      <c r="K44" s="107">
        <f>SUM(K46:K50)</f>
        <v>98870513.050000191</v>
      </c>
      <c r="L44" s="35"/>
    </row>
    <row r="45" spans="2:12" x14ac:dyDescent="0.2">
      <c r="B45" s="44"/>
      <c r="C45" s="22"/>
      <c r="D45" s="22"/>
      <c r="E45" s="22"/>
      <c r="F45" s="22"/>
      <c r="G45" s="38"/>
      <c r="H45" s="313"/>
      <c r="I45" s="313"/>
      <c r="J45" s="108"/>
      <c r="K45" s="108"/>
      <c r="L45" s="35"/>
    </row>
    <row r="46" spans="2:12" x14ac:dyDescent="0.2">
      <c r="B46" s="44"/>
      <c r="C46" s="22"/>
      <c r="D46" s="22"/>
      <c r="E46" s="22"/>
      <c r="F46" s="22"/>
      <c r="G46" s="38"/>
      <c r="H46" s="464" t="s">
        <v>732</v>
      </c>
      <c r="I46" s="464"/>
      <c r="J46" s="109">
        <f>IF(ESF!J51&gt;ESF!K51,ESF!J51-ESF!K51,0)</f>
        <v>42371720.730000496</v>
      </c>
      <c r="K46" s="109">
        <f>IF(J46&gt;0,0,ESF!K51-ESF!J51)</f>
        <v>0</v>
      </c>
      <c r="L46" s="35"/>
    </row>
    <row r="47" spans="2:12" x14ac:dyDescent="0.2">
      <c r="B47" s="44"/>
      <c r="C47" s="22"/>
      <c r="D47" s="22"/>
      <c r="E47" s="22"/>
      <c r="F47" s="22"/>
      <c r="G47" s="38"/>
      <c r="H47" s="464" t="s">
        <v>733</v>
      </c>
      <c r="I47" s="464"/>
      <c r="J47" s="109">
        <f>IF(ESF!J52&gt;ESF!K52,ESF!J52-ESF!K52,0)</f>
        <v>0</v>
      </c>
      <c r="K47" s="109">
        <f>IF(J47&gt;0,0,ESF!K52-ESF!J52)</f>
        <v>98870513.050000191</v>
      </c>
      <c r="L47" s="35"/>
    </row>
    <row r="48" spans="2:12" x14ac:dyDescent="0.2">
      <c r="B48" s="44"/>
      <c r="C48" s="22"/>
      <c r="D48" s="22"/>
      <c r="E48" s="22"/>
      <c r="F48" s="22"/>
      <c r="G48" s="38"/>
      <c r="H48" s="464" t="s">
        <v>734</v>
      </c>
      <c r="I48" s="464"/>
      <c r="J48" s="109">
        <f>IF(ESF!J53&gt;ESF!K53,ESF!J53-ESF!K53,0)</f>
        <v>0</v>
      </c>
      <c r="K48" s="109">
        <f>IF(J48&gt;0,0,ESF!K53-ESF!J53)</f>
        <v>0</v>
      </c>
      <c r="L48" s="35"/>
    </row>
    <row r="49" spans="2:12" x14ac:dyDescent="0.2">
      <c r="B49" s="44"/>
      <c r="C49" s="22"/>
      <c r="D49" s="22"/>
      <c r="E49" s="22"/>
      <c r="F49" s="22"/>
      <c r="G49" s="38"/>
      <c r="H49" s="464" t="s">
        <v>735</v>
      </c>
      <c r="I49" s="464"/>
      <c r="J49" s="109">
        <f>IF(ESF!J54&gt;ESF!K54,ESF!J54-ESF!K54,0)</f>
        <v>0</v>
      </c>
      <c r="K49" s="109">
        <f>IF(J49&gt;0,0,ESF!K54-ESF!J54)</f>
        <v>0</v>
      </c>
      <c r="L49" s="35"/>
    </row>
    <row r="50" spans="2:12" x14ac:dyDescent="0.2">
      <c r="B50" s="41"/>
      <c r="C50" s="22"/>
      <c r="D50" s="22"/>
      <c r="E50" s="22"/>
      <c r="F50" s="22"/>
      <c r="G50" s="38"/>
      <c r="H50" s="464" t="s">
        <v>736</v>
      </c>
      <c r="I50" s="464"/>
      <c r="J50" s="109">
        <f>IF(ESF!J55&gt;ESF!K55,ESF!J55-ESF!K55,0)</f>
        <v>0</v>
      </c>
      <c r="K50" s="109">
        <f>IF(J50&gt;0,0,ESF!K55-ESF!J55)</f>
        <v>0</v>
      </c>
      <c r="L50" s="35"/>
    </row>
    <row r="51" spans="2:12" x14ac:dyDescent="0.2">
      <c r="B51" s="44"/>
      <c r="C51" s="22"/>
      <c r="D51" s="22"/>
      <c r="E51" s="22"/>
      <c r="F51" s="22"/>
      <c r="G51" s="38"/>
      <c r="H51" s="313"/>
      <c r="I51" s="313"/>
      <c r="J51" s="108"/>
      <c r="K51" s="108"/>
      <c r="L51" s="35"/>
    </row>
    <row r="52" spans="2:12" x14ac:dyDescent="0.2">
      <c r="B52" s="41"/>
      <c r="C52" s="22"/>
      <c r="D52" s="22"/>
      <c r="E52" s="22"/>
      <c r="F52" s="22"/>
      <c r="G52" s="38"/>
      <c r="H52" s="463" t="s">
        <v>746</v>
      </c>
      <c r="I52" s="463"/>
      <c r="J52" s="107">
        <f>SUM(J54:J55)</f>
        <v>0</v>
      </c>
      <c r="K52" s="107">
        <f>SUM(K54:K55)</f>
        <v>0</v>
      </c>
      <c r="L52" s="35"/>
    </row>
    <row r="53" spans="2:12" ht="6" customHeight="1" x14ac:dyDescent="0.2">
      <c r="B53" s="44"/>
      <c r="C53" s="22"/>
      <c r="D53" s="22"/>
      <c r="E53" s="22"/>
      <c r="F53" s="22"/>
      <c r="G53" s="38"/>
      <c r="H53" s="313"/>
      <c r="I53" s="313"/>
      <c r="J53" s="108"/>
      <c r="K53" s="108"/>
      <c r="L53" s="35"/>
    </row>
    <row r="54" spans="2:12" x14ac:dyDescent="0.2">
      <c r="B54" s="44"/>
      <c r="C54" s="22"/>
      <c r="D54" s="22"/>
      <c r="E54" s="22"/>
      <c r="F54" s="22"/>
      <c r="G54" s="38"/>
      <c r="H54" s="464" t="s">
        <v>738</v>
      </c>
      <c r="I54" s="464"/>
      <c r="J54" s="109">
        <f>IF(ESF!J59&gt;ESF!K59,ESF!J59-ESF!K59,0)</f>
        <v>0</v>
      </c>
      <c r="K54" s="109">
        <f>IF(J54&gt;0,0,ESF!K59-ESF!J59)</f>
        <v>0</v>
      </c>
      <c r="L54" s="35"/>
    </row>
    <row r="55" spans="2:12" ht="19.5" customHeight="1" x14ac:dyDescent="0.2">
      <c r="B55" s="110"/>
      <c r="C55" s="59"/>
      <c r="D55" s="59"/>
      <c r="E55" s="59"/>
      <c r="F55" s="59"/>
      <c r="G55" s="98"/>
      <c r="H55" s="491" t="s">
        <v>739</v>
      </c>
      <c r="I55" s="491"/>
      <c r="J55" s="111">
        <f>IF(ESF!J60&gt;ESF!K60,ESF!J60-ESF!K60,0)</f>
        <v>0</v>
      </c>
      <c r="K55" s="111">
        <f>IF(J55&gt;0,0,ESF!K60-ESF!J60)</f>
        <v>0</v>
      </c>
      <c r="L55" s="61"/>
    </row>
    <row r="56" spans="2:12" ht="15" customHeight="1" x14ac:dyDescent="0.2">
      <c r="B56" s="22"/>
      <c r="C56" s="470" t="s">
        <v>681</v>
      </c>
      <c r="D56" s="470"/>
      <c r="E56" s="470"/>
      <c r="F56" s="470"/>
      <c r="G56" s="470"/>
      <c r="H56" s="470"/>
      <c r="I56" s="470"/>
      <c r="J56" s="470"/>
      <c r="K56" s="470"/>
      <c r="L56" s="22"/>
    </row>
    <row r="57" spans="2:12" ht="15" customHeight="1" x14ac:dyDescent="0.2">
      <c r="B57" s="22"/>
      <c r="C57" s="320"/>
      <c r="D57" s="320"/>
      <c r="E57" s="320"/>
      <c r="F57" s="320"/>
      <c r="G57" s="320"/>
      <c r="H57" s="320"/>
      <c r="I57" s="320"/>
      <c r="J57" s="320"/>
      <c r="K57" s="320"/>
      <c r="L57" s="22"/>
    </row>
    <row r="58" spans="2:12" ht="15" customHeight="1" x14ac:dyDescent="0.2">
      <c r="B58" s="22"/>
      <c r="C58" s="320"/>
      <c r="D58" s="320"/>
      <c r="E58" s="320"/>
      <c r="F58" s="320"/>
      <c r="G58" s="320"/>
      <c r="H58" s="320"/>
      <c r="I58" s="320"/>
      <c r="J58" s="320"/>
      <c r="K58" s="320"/>
      <c r="L58" s="22"/>
    </row>
    <row r="59" spans="2:12" ht="9.75" customHeight="1" x14ac:dyDescent="0.2">
      <c r="B59" s="22"/>
      <c r="C59" s="47"/>
      <c r="D59" s="67"/>
      <c r="E59" s="68"/>
      <c r="F59" s="68"/>
      <c r="G59" s="22"/>
      <c r="H59" s="69"/>
      <c r="I59" s="115"/>
      <c r="J59" s="68"/>
      <c r="K59" s="68"/>
      <c r="L59" s="22"/>
    </row>
    <row r="60" spans="2:12" ht="50.1" customHeight="1" x14ac:dyDescent="0.2">
      <c r="B60" s="22"/>
      <c r="C60" s="47"/>
      <c r="D60" s="63"/>
      <c r="E60" s="64"/>
      <c r="F60" s="68"/>
      <c r="G60" s="22"/>
      <c r="H60" s="65"/>
      <c r="I60" s="283"/>
      <c r="J60" s="68"/>
      <c r="K60" s="68"/>
      <c r="L60" s="22"/>
    </row>
    <row r="61" spans="2:12" ht="14.1" customHeight="1" x14ac:dyDescent="0.2">
      <c r="C61" s="71"/>
      <c r="D61" s="478" t="str">
        <f>ENTE!D10</f>
        <v>ING. ENRIQUE DE ECHAVARRI LARY</v>
      </c>
      <c r="E61" s="478"/>
      <c r="F61" s="68"/>
      <c r="G61" s="68"/>
      <c r="H61" s="478" t="str">
        <f>ENTE!D14</f>
        <v>LIC. RICARDO SALVADOR BACA MUÑOZ</v>
      </c>
      <c r="I61" s="478"/>
      <c r="J61" s="72"/>
      <c r="K61" s="68"/>
    </row>
    <row r="62" spans="2:12" ht="14.1" customHeight="1" x14ac:dyDescent="0.2">
      <c r="C62" s="73"/>
      <c r="D62" s="467" t="str">
        <f>ENTE!D12</f>
        <v>COORDINADOR GENERAL</v>
      </c>
      <c r="E62" s="467"/>
      <c r="F62" s="74"/>
      <c r="G62" s="74"/>
      <c r="H62" s="467" t="str">
        <f>ENTE!D16</f>
        <v>DIRECTOR DE ADMINISTRACIÓN</v>
      </c>
      <c r="I62" s="467"/>
      <c r="J62" s="72"/>
      <c r="K62" s="68"/>
    </row>
    <row r="63" spans="2:12" x14ac:dyDescent="0.2">
      <c r="B63" s="320"/>
      <c r="G63" s="38"/>
    </row>
  </sheetData>
  <sheetProtection password="88C8" sheet="1" objects="1" scenarios="1" selectLockedCells="1"/>
  <mergeCells count="62">
    <mergeCell ref="C2:L2"/>
    <mergeCell ref="C16:D16"/>
    <mergeCell ref="H16:I16"/>
    <mergeCell ref="C3:L3"/>
    <mergeCell ref="C4:L4"/>
    <mergeCell ref="C5:L5"/>
    <mergeCell ref="C11:D11"/>
    <mergeCell ref="H11:I11"/>
    <mergeCell ref="C14:D14"/>
    <mergeCell ref="H14:I14"/>
    <mergeCell ref="D7:J7"/>
    <mergeCell ref="C18:D18"/>
    <mergeCell ref="H18:I18"/>
    <mergeCell ref="C19:D19"/>
    <mergeCell ref="H19:I19"/>
    <mergeCell ref="C20:D20"/>
    <mergeCell ref="H20:I20"/>
    <mergeCell ref="C28:D28"/>
    <mergeCell ref="C21:D21"/>
    <mergeCell ref="H21:I21"/>
    <mergeCell ref="C22:D22"/>
    <mergeCell ref="H22:I22"/>
    <mergeCell ref="C23:D23"/>
    <mergeCell ref="H23:I23"/>
    <mergeCell ref="C24:D24"/>
    <mergeCell ref="H24:I24"/>
    <mergeCell ref="H25:I25"/>
    <mergeCell ref="C26:D26"/>
    <mergeCell ref="H27:I27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34:I34"/>
    <mergeCell ref="D62:E62"/>
    <mergeCell ref="H62:I62"/>
    <mergeCell ref="H50:I50"/>
    <mergeCell ref="H52:I52"/>
    <mergeCell ref="H54:I54"/>
    <mergeCell ref="H55:I55"/>
    <mergeCell ref="C56:K56"/>
    <mergeCell ref="D61:E61"/>
    <mergeCell ref="H61:I61"/>
    <mergeCell ref="H49:I49"/>
    <mergeCell ref="C35:D35"/>
    <mergeCell ref="C36:D36"/>
    <mergeCell ref="H36:I36"/>
    <mergeCell ref="H38:I38"/>
    <mergeCell ref="H40:I40"/>
    <mergeCell ref="H48:I48"/>
    <mergeCell ref="H41:I41"/>
    <mergeCell ref="H42:I42"/>
    <mergeCell ref="H44:I44"/>
    <mergeCell ref="H46:I46"/>
    <mergeCell ref="H47:I4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landscape" r:id="rId1"/>
  <headerFooter>
    <oddFooter>&amp;C&amp;A&amp;RPágina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17</vt:i4>
      </vt:variant>
    </vt:vector>
  </HeadingPairs>
  <TitlesOfParts>
    <vt:vector size="38" baseType="lpstr">
      <vt:lpstr>PRINCIPAL</vt:lpstr>
      <vt:lpstr>ENTE</vt:lpstr>
      <vt:lpstr>Periodos</vt:lpstr>
      <vt:lpstr>BALANZA COMPROBACION</vt:lpstr>
      <vt:lpstr>EA</vt:lpstr>
      <vt:lpstr>ESF</vt:lpstr>
      <vt:lpstr>ESFD</vt:lpstr>
      <vt:lpstr>EVHP</vt:lpstr>
      <vt:lpstr>ECSF</vt:lpstr>
      <vt:lpstr>EFE</vt:lpstr>
      <vt:lpstr>IPC</vt:lpstr>
      <vt:lpstr>EAA</vt:lpstr>
      <vt:lpstr>CF</vt:lpstr>
      <vt:lpstr>EB</vt:lpstr>
      <vt:lpstr>EADP</vt:lpstr>
      <vt:lpstr>IADOP</vt:lpstr>
      <vt:lpstr>IAODF</vt:lpstr>
      <vt:lpstr>Comprobación</vt:lpstr>
      <vt:lpstr>EA (2)</vt:lpstr>
      <vt:lpstr>ESF (2)</vt:lpstr>
      <vt:lpstr>ECSF (2)</vt:lpstr>
      <vt:lpstr>'BALANZA COMPROBACION'!Área_de_impresión</vt:lpstr>
      <vt:lpstr>CF!Área_de_impresión</vt:lpstr>
      <vt:lpstr>EA!Área_de_impresión</vt:lpstr>
      <vt:lpstr>'EA (2)'!Área_de_impresión</vt:lpstr>
      <vt:lpstr>EAA!Área_de_impresión</vt:lpstr>
      <vt:lpstr>EADP!Área_de_impresión</vt:lpstr>
      <vt:lpstr>EB!Área_de_impresión</vt:lpstr>
      <vt:lpstr>EFE!Área_de_impresión</vt:lpstr>
      <vt:lpstr>ESF!Área_de_impresión</vt:lpstr>
      <vt:lpstr>'ESF (2)'!Área_de_impresión</vt:lpstr>
      <vt:lpstr>ESFD!Área_de_impresión</vt:lpstr>
      <vt:lpstr>EVHP!Área_de_impresión</vt:lpstr>
      <vt:lpstr>IADOP!Área_de_impresión</vt:lpstr>
      <vt:lpstr>IAODF!Área_de_impresión</vt:lpstr>
      <vt:lpstr>IPC!Área_de_impresión</vt:lpstr>
      <vt:lpstr>Periodos</vt:lpstr>
      <vt:lpstr>'BALANZA COMPROBACION'!Títulos_a_imprimir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Rebolledo Aguilar, Dulce María</dc:creator>
  <cp:lastModifiedBy>Diana Aguilar Osornio</cp:lastModifiedBy>
  <cp:lastPrinted>2018-07-12T17:46:13Z</cp:lastPrinted>
  <dcterms:created xsi:type="dcterms:W3CDTF">2017-01-27T17:28:16Z</dcterms:created>
  <dcterms:modified xsi:type="dcterms:W3CDTF">2019-01-15T15:41:19Z</dcterms:modified>
</cp:coreProperties>
</file>